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160" windowWidth="12045" windowHeight="1110" firstSheet="10" activeTab="10"/>
  </bookViews>
  <sheets>
    <sheet name="F page" sheetId="1" r:id="rId1"/>
    <sheet name="INDEX (2)" sheetId="2" r:id="rId2"/>
    <sheet name="Gen.Info (2)" sheetId="3" r:id="rId3"/>
    <sheet name="Grap Balance Sheet" sheetId="4" r:id="rId4"/>
    <sheet name="Grap i&amp;E" sheetId="5" r:id="rId5"/>
    <sheet name="Notes (2)" sheetId="6" r:id="rId6"/>
    <sheet name="Grap Appr" sheetId="7" r:id="rId7"/>
    <sheet name="Cashflow" sheetId="8" r:id="rId8"/>
    <sheet name="Asset note" sheetId="9" r:id="rId9"/>
    <sheet name="Notes" sheetId="10" state="hidden" r:id="rId10"/>
    <sheet name="LOANS-APP A" sheetId="11" r:id="rId11"/>
    <sheet name="GRAP APP B" sheetId="12" r:id="rId12"/>
    <sheet name="GRAP APP C" sheetId="13" r:id="rId13"/>
    <sheet name="GRAP APP D" sheetId="14" r:id="rId14"/>
    <sheet name="GRAP APP E1" sheetId="15" r:id="rId15"/>
    <sheet name="GRAP APP E2" sheetId="16" r:id="rId16"/>
    <sheet name="Note F" sheetId="17" r:id="rId17"/>
  </sheets>
  <externalReferences>
    <externalReference r:id="rId20"/>
  </externalReferences>
  <definedNames>
    <definedName name="_xlnm._FilterDatabase" localSheetId="5" hidden="1">'Notes (2)'!$E$1:$E$1578</definedName>
    <definedName name="_SP00020061">#REF!</definedName>
    <definedName name="_xlnm.Print_Area" localSheetId="8">'Asset note'!$A$1:$H$60</definedName>
    <definedName name="_xlnm.Print_Area" localSheetId="7">'Cashflow'!$A$1:$F$49</definedName>
    <definedName name="_xlnm.Print_Area" localSheetId="11">'GRAP APP B'!$A$1:$S$86</definedName>
    <definedName name="_xlnm.Print_Area" localSheetId="14">'GRAP APP E1'!$A$1:$F$43</definedName>
    <definedName name="_xlnm.Print_Area" localSheetId="15">'GRAP APP E2'!$A$1:$G$66</definedName>
    <definedName name="_xlnm.Print_Area" localSheetId="6">'Grap Appr'!$A$1:$R$42</definedName>
    <definedName name="_xlnm.Print_Area" localSheetId="3">'Grap Balance Sheet'!$A$2:$I$53</definedName>
    <definedName name="_xlnm.Print_Area" localSheetId="4">'Grap i&amp;E'!$B$2:$F$42</definedName>
    <definedName name="_xlnm.Print_Area" localSheetId="10">'LOANS-APP A'!$A$1:$H$54</definedName>
    <definedName name="_xlnm.Print_Area" localSheetId="5">'Notes (2)'!$A$1:$I$1517</definedName>
    <definedName name="_xlnm.Print_Titles" localSheetId="5">'Notes (2)'!$1:$5</definedName>
  </definedNames>
  <calcPr fullCalcOnLoad="1" fullPrecision="0"/>
</workbook>
</file>

<file path=xl/sharedStrings.xml><?xml version="1.0" encoding="utf-8"?>
<sst xmlns="http://schemas.openxmlformats.org/spreadsheetml/2006/main" count="2881" uniqueCount="1693">
  <si>
    <t>The account of the plaintiff does not reflect in Mogale City Local Municipality meter reading system. The plaintiff alleges to have bought water from Spar and produced a receipt that was not visible. The commissioner indicated that she might have taken any receipt of another meter. The plaintiff need to bring the  visible documents upon which her claim is based to the Manger Revenue for the matter to be settled out of court once the parties have met. The matter was set down on the 3 August 2009 at the Krugersdorp Magistrate Small Claims Court. The case was redemanded until 7 September 2009. Amount claimed R3 600.</t>
  </si>
  <si>
    <t>The plaintiff has instituted a civil action against Mogale City Local Municipality in the Krugersdorp Magistrate Court for ungraded and poorly maintained  road.  The plaintiff alleges that his motor vehicle's engine was damaged as a result of the road that was not properly maintained by the Municipality. The Municipality has instructed Messrs Sepamla Mosalakae Attorneys to defend the matter.  Amount claimed R20 000.</t>
  </si>
  <si>
    <t>The plaintiff is suing  Mogale City Local Municipality for damages incurred of the following:- a) Flight ticket from Thailand to South Africa , b) Damages of the contents of the refrigerator as a result of power cutting.  The plaintiff went to German and Thailand for business matters . His property was rented to Mr. van Niekerk.The Municipality has instructed Messrs Sepamla Mosalakae Attorneys to defend the matter.  Amount claimed R25 691.</t>
  </si>
  <si>
    <t>Correction of error  - cost (note 29.1.7)</t>
  </si>
  <si>
    <t>Correction of error  - depreciation (note 29.1.7)</t>
  </si>
  <si>
    <t>intan</t>
  </si>
  <si>
    <t>intang</t>
  </si>
  <si>
    <t xml:space="preserve">                                  31 AUGUST 2009</t>
  </si>
  <si>
    <t>1.1 Loans</t>
  </si>
  <si>
    <t xml:space="preserve">1.2 Finance leases </t>
  </si>
  <si>
    <t>2.1 Trust account: T. Madikane</t>
  </si>
  <si>
    <t>2.2 Collateral guarantee insurance</t>
  </si>
  <si>
    <t>Closing
 balance</t>
  </si>
  <si>
    <t>Implementation of property rates acts</t>
  </si>
  <si>
    <t>Less: revenue foregone</t>
  </si>
  <si>
    <t>Rebates  for assetment rates - implementation of property rates acts</t>
  </si>
  <si>
    <t>2.3 Post retirement medical benefits</t>
  </si>
  <si>
    <t>The finance management grant is utilized in the internship programme for the payment of salaries and training of the finance interns as well as any payments in relation to  financial administration.</t>
  </si>
  <si>
    <t xml:space="preserve">Correction of operating lease payments </t>
  </si>
  <si>
    <t xml:space="preserve">Correction of finance lease payments </t>
  </si>
  <si>
    <t>18.10 Department of Local Government: Restructuring Grant</t>
  </si>
  <si>
    <t>18.11 Department of Local Government: Water Targets</t>
  </si>
  <si>
    <t>18.12 West Rand District Municipality</t>
  </si>
  <si>
    <t>18.13 Bontle Ke Botho</t>
  </si>
  <si>
    <t>18.14 Seta training grant</t>
  </si>
  <si>
    <t>18.15 National department of sport</t>
  </si>
  <si>
    <t>18.16 Municipal systems improvement grant</t>
  </si>
  <si>
    <t>Exemptions: municipal</t>
  </si>
  <si>
    <t>Formule -ass disposal + depr dispossal</t>
  </si>
  <si>
    <t>ass disposal as -</t>
  </si>
  <si>
    <t>Non distributable reserve</t>
  </si>
  <si>
    <t>Correcrion of errror previous financial periods</t>
  </si>
  <si>
    <t>Transfers &amp;
 corrections</t>
  </si>
  <si>
    <t>2.4 Landfill site rehabilitation</t>
  </si>
  <si>
    <t>(Increase)/decrease in non-current investments</t>
  </si>
  <si>
    <t>Increase non current provisions</t>
  </si>
  <si>
    <t>Less revenue forgone</t>
  </si>
  <si>
    <t>Provision for rehabilitation represent the costs for Magaliesburg and Luipaardsvlei land fill site, the cost associated with closure after their useful economic life.</t>
  </si>
  <si>
    <t xml:space="preserve">19 1.Other income </t>
  </si>
  <si>
    <t>19.2 Income foregone</t>
  </si>
  <si>
    <t>29.1 Impact on financial position</t>
  </si>
  <si>
    <t>29.1.2 Other debtors</t>
  </si>
  <si>
    <t>29.1.3 Consumer debtors</t>
  </si>
  <si>
    <t>29.1.4 Post retirement employee benefit</t>
  </si>
  <si>
    <t>29.1.5 Contribution to provisions</t>
  </si>
  <si>
    <t>29.1.6 Unspent conditional grants</t>
  </si>
  <si>
    <t>29.1.7 Property, plant and equipment</t>
  </si>
  <si>
    <t>29.1.8 Lease Liabilities</t>
  </si>
  <si>
    <t>29.2 Impact on statement of changes in net assets</t>
  </si>
  <si>
    <t>29.1.1 Creditors</t>
  </si>
  <si>
    <t>29.1.9 Inventory</t>
  </si>
  <si>
    <t>29.1.10 Value added taxation</t>
  </si>
  <si>
    <t>29.1.11 Intangible assets</t>
  </si>
  <si>
    <t>Intangible assets as previously reported</t>
  </si>
  <si>
    <t>29.3 Impact on statement of financial performance</t>
  </si>
  <si>
    <t>29.3.1 Assets - GRAP Implementation</t>
  </si>
  <si>
    <t>29.3.3 Income</t>
  </si>
  <si>
    <t>29.3.4 GRAP Implementation</t>
  </si>
  <si>
    <t>Minimum
 Lease</t>
  </si>
  <si>
    <t>Present value
of minimum</t>
  </si>
  <si>
    <t>Future Finance 
Charges</t>
  </si>
  <si>
    <t>10.1 INVESTMENT PROPERTIES</t>
  </si>
  <si>
    <t>10.2 Property plant and equipment</t>
  </si>
  <si>
    <t>-  24  -</t>
  </si>
  <si>
    <t>Implementation of GRAP standard to disclose its water inventory.</t>
  </si>
  <si>
    <t>Value added taxation balance restated</t>
  </si>
  <si>
    <t>Implementation of GRAP accounting standards: operating lease assets raised for 2008</t>
  </si>
  <si>
    <t>-  28  -</t>
  </si>
  <si>
    <t>-  29  -</t>
  </si>
  <si>
    <t>-  30  -</t>
  </si>
  <si>
    <t>There was no incident reported of unauthorised, irregular, fruitless and wasteful expenditure for the   2008/2009 financial period.</t>
  </si>
  <si>
    <t>Office equipment and other equipment, vehicles and property.</t>
  </si>
  <si>
    <t>A trust account was established by the office of the executive mayor of MCLM, on behalf of the Madikane Family, for a two year old girl who is in need of a liver transplant.
The Municipality has given a commitment to assist with the fund raising.</t>
  </si>
  <si>
    <t>Debt repayment  2008/09 only made up approximately 3.3% of cash receipt from operating activities, meaning that MCLM is in position to pay its long term debts henceforth.</t>
  </si>
  <si>
    <t>Nomvuzo will indicate the split of the creditors in trade,other,refundable,retention</t>
  </si>
  <si>
    <t>gl101 and Gl account must balance (same figure)</t>
  </si>
  <si>
    <t>Provincial health subsidies( note 18.2)</t>
  </si>
  <si>
    <t>Exemptions: religious</t>
  </si>
  <si>
    <t>Exemptions: public service infrastructure</t>
  </si>
  <si>
    <t xml:space="preserve"> Gfs 3900 - 1735/5010</t>
  </si>
  <si>
    <t>Gfs 4100</t>
  </si>
  <si>
    <t>During the year under consideration MCLM lost 36%  and 7% of water and electricity purchased respectively.</t>
  </si>
  <si>
    <t>Unspent conditional grants as previously reported</t>
  </si>
  <si>
    <t>Correction of disclosure. Autocad software disclosed as computer equipment instead of an intangible asset.</t>
  </si>
  <si>
    <t>The value of above (GRAP) increased by R694 158 as a result of additional assets discovered during assets verification. A further increase of R16,857,234 as result of review of the economic life of some of the assets with the value exceeding R5,000.The condition of the assets concerned was used to revise the economic life</t>
  </si>
  <si>
    <t>29.3.2 Conversion errors (Accounting software)</t>
  </si>
  <si>
    <t xml:space="preserve">This include provision for rehabilitation of landfill sites R19,692,141 and Saleable land inventory of R84,246,000 </t>
  </si>
  <si>
    <t>Municipal councillors pension fund</t>
  </si>
  <si>
    <t xml:space="preserve">The plaintiff instituted a civil case against Mogale City Local Municipality in the Pretoria High Court. The plaintiff wants the Municipality to cancel the contract he signed with  Red Coral Investments. The Municipality  has made the land available in terms of the land availability programme in 2002/02/07 to Reliance Investment Group (Pty) Ltd  who  later ceded the land to Red Coral Investments. Now Red Coral investment demand the municipality must  pay them R290,000.00 and cancel the contract between them and Reliance Investments (PTY) LTD.
</t>
  </si>
  <si>
    <t>During the year under consideration the long term debt attracting interest made approximately 20% of cash received and interest paid only made up approximately 3,6% of total cash receipts from operating activities , meaning that Mogale city was is  in good position to pay interest and debt henceforth.</t>
  </si>
  <si>
    <t>Clr. K.C. Seerane</t>
  </si>
  <si>
    <t>I am responsible for the preparation of these annual financial statements, which are set out on pages 1 to 46, in terms of Section 126 (1) of the Municipal Finance Management Act and which I have signed on behalf of the Municipality.</t>
  </si>
  <si>
    <t>The new property rates act came into effect on 1 July 2009 . Assesment rates are levied in advance, R22 352 671 (June 2009) in respect of July 2009 and  R12 269 797 (June 2008) in respect of July 2008. The impact of this act is disclosed below where the difference in the valuations from June 2009 of R1 925 623 compared to July 2009          R37 205 061.</t>
  </si>
  <si>
    <t>Conversion errors from system changeover.</t>
  </si>
  <si>
    <t>Housing loans, sundry debtors, sundry loans and consumer deposits adjusted in the current year where as a result of the implementation of the new financial system at Mogale City. Interest on sundry loans, debtors and housing loans previously charged was reversed to correct errors from Venus system</t>
  </si>
  <si>
    <t>CLL</t>
  </si>
  <si>
    <t>Accounting for current lease assets</t>
  </si>
  <si>
    <t>Mayors car???</t>
  </si>
  <si>
    <t>Reported under General Expense (note 24) and the statement of financial performance are expenses incurred with respect to operating lease arrangements as follows:</t>
  </si>
  <si>
    <t xml:space="preserve">The average finance lease term is 30 years. Interest rates are fixed at the contract date. Some leases have fixed repayment terms and other escalate on a fixed rate and some fluctuate with the prime lending rate. No arrangements have been entered into for contingent rent.  </t>
  </si>
  <si>
    <t>Implementation of GRAP standard - operating  leases (see note 29.1.1 and 29.1.2)</t>
  </si>
  <si>
    <t>Please check against the operating leases and finance leases file (sheet 2.4  for fin leases and 3.3 for op leases) !!!!!!!</t>
  </si>
  <si>
    <t>Annuity loans:  The annuity loans bear interest between 10% and 16.2% per annum and are repayable over a period between 1  years and 15 years. Investments amounting to R 56 862 692, have been ceded to DBSA.</t>
  </si>
  <si>
    <t>Investments pledged with banking institutions were  R 56 862 692 (2009) and R 46 969 220 (2008).</t>
  </si>
  <si>
    <t>Buildings</t>
  </si>
  <si>
    <t>Depots</t>
  </si>
  <si>
    <t>Investment ass</t>
  </si>
  <si>
    <t>Revaluation</t>
  </si>
  <si>
    <t>Revaluation (GRAP 17 implementation)</t>
  </si>
  <si>
    <t>Staff housing</t>
  </si>
  <si>
    <t>other ass additiions</t>
  </si>
  <si>
    <t>Asset review</t>
  </si>
  <si>
    <t>3036396267.12</t>
  </si>
  <si>
    <t>950847930.93</t>
  </si>
  <si>
    <t>1308340251.46</t>
  </si>
  <si>
    <t>8318519043.61</t>
  </si>
  <si>
    <t>In-service members will, and continuation members do, receive a post-employment subsidy of 60% of the contribution payable, subject to a limit of R2,579.00 per month for 2008/2009.</t>
  </si>
  <si>
    <t>Land &amp; buildings</t>
  </si>
  <si>
    <t>Housing Schemes</t>
  </si>
  <si>
    <t>Transfers and corrections</t>
  </si>
  <si>
    <t>Correction of depreciation</t>
  </si>
  <si>
    <t>Correction of error depreciation</t>
  </si>
  <si>
    <t>Correction of error GRAP Implementation - infrastructure assets</t>
  </si>
  <si>
    <t>Implementation of GRAP standard (note 2.3)</t>
  </si>
  <si>
    <t>Contribution to leave provisions (note 29.1.5)</t>
  </si>
  <si>
    <t>Depreciation on property, plant and equipment (note 29.1.7)</t>
  </si>
  <si>
    <t>Depreciation on finance leases and other (note 29.1.7)</t>
  </si>
  <si>
    <t>Income(note 29.3.3)</t>
  </si>
  <si>
    <t>Provision  - GRAP Implementation (note 29.3.4)</t>
  </si>
  <si>
    <t>Implementation of GRAP standard - inventory (note 12)</t>
  </si>
  <si>
    <t>Correction of error  (note 11)</t>
  </si>
  <si>
    <t>Surplus for the year 30 June 2008  as previously reported</t>
  </si>
  <si>
    <t>Movements from prior years</t>
  </si>
  <si>
    <t>Correction of error revenue</t>
  </si>
  <si>
    <t>Correction of error expenditure</t>
  </si>
  <si>
    <t>Movement of prior year</t>
  </si>
  <si>
    <t>Correction of error GRAP and implementation</t>
  </si>
  <si>
    <t>Correction of error previously reported - AFS June 2008</t>
  </si>
  <si>
    <r>
      <t xml:space="preserve">Deviations from official procurement processes to the value of R1 559 026 are included as </t>
    </r>
    <r>
      <rPr>
        <b/>
        <sz val="11"/>
        <rFont val="Arial"/>
        <family val="2"/>
      </rPr>
      <t>Annexure 1 to the financial statements .</t>
    </r>
  </si>
  <si>
    <t xml:space="preserve">Current-service 
Cost </t>
  </si>
  <si>
    <t>must balance to app account grand total</t>
  </si>
  <si>
    <t>\</t>
  </si>
  <si>
    <t>(deficit)</t>
  </si>
  <si>
    <t>Correction of errors for 2007 as above</t>
  </si>
  <si>
    <t>Traffic donations received</t>
  </si>
  <si>
    <t>2009</t>
  </si>
  <si>
    <t>-17-</t>
  </si>
  <si>
    <t xml:space="preserve"> - 31 -</t>
  </si>
  <si>
    <t xml:space="preserve"> - 32 -</t>
  </si>
  <si>
    <t xml:space="preserve"> - 33 -</t>
  </si>
  <si>
    <t xml:space="preserve"> - 34 -</t>
  </si>
  <si>
    <t xml:space="preserve"> - 35 -</t>
  </si>
  <si>
    <t xml:space="preserve"> - 36 -</t>
  </si>
  <si>
    <t xml:space="preserve">  - 37 -</t>
  </si>
  <si>
    <t xml:space="preserve"> - 1 -</t>
  </si>
  <si>
    <t xml:space="preserve">  - 2 -</t>
  </si>
  <si>
    <t xml:space="preserve">  - 3 -</t>
  </si>
  <si>
    <t xml:space="preserve">                                                                         - 5 -</t>
  </si>
  <si>
    <t xml:space="preserve"> - 4 -</t>
  </si>
  <si>
    <t xml:space="preserve">VAT refundable from SARS </t>
  </si>
  <si>
    <t xml:space="preserve">Value added taxation refundable from SARS </t>
  </si>
  <si>
    <t>Increase in impairment of debtors</t>
  </si>
  <si>
    <t>Bad debts written off</t>
  </si>
  <si>
    <t>Depreciation Revaluations</t>
  </si>
  <si>
    <t>Corrections and transfers and revaluations - cost</t>
  </si>
  <si>
    <t>Corrections and transfers and revaluations - depreciation</t>
  </si>
  <si>
    <t xml:space="preserve">Clr. Mangole N.C. </t>
  </si>
  <si>
    <t>Clr. S. Dube (Acting)</t>
  </si>
  <si>
    <t>Contingent liabilities (Bank Guarantees)</t>
  </si>
  <si>
    <t xml:space="preserve">Eskom : Kagiso Portion 96 </t>
  </si>
  <si>
    <t>Eskom : Kagiso Portion 39</t>
  </si>
  <si>
    <t>CASH FLOWS FROM FINANCING ACTIVITIES</t>
  </si>
  <si>
    <t>Increase in consumer deposits</t>
  </si>
  <si>
    <t>Cash and cash equivalents at the beginning of the year</t>
  </si>
  <si>
    <t>Cash and cash equivalents at the end of the year</t>
  </si>
  <si>
    <t>NOTES TO THE FINANCIAL STATEMENTS FOR THE YEAR ENDED 30 JUNE 2006</t>
  </si>
  <si>
    <t>As at 30 June 2006</t>
  </si>
  <si>
    <t>Salary third party payments</t>
  </si>
  <si>
    <t>Salga</t>
  </si>
  <si>
    <t>PROPERTY, PLANT &amp; EQUIPMENT</t>
  </si>
  <si>
    <t xml:space="preserve">Land and </t>
  </si>
  <si>
    <t>Infra-</t>
  </si>
  <si>
    <t>structure</t>
  </si>
  <si>
    <t>Cost</t>
  </si>
  <si>
    <t>Accumulated depreciation</t>
  </si>
  <si>
    <t>Acquisitions</t>
  </si>
  <si>
    <t>Carrying value of disposals</t>
  </si>
  <si>
    <t>Building plan fees</t>
  </si>
  <si>
    <t>Bulk service connections</t>
  </si>
  <si>
    <t>-  20  -</t>
  </si>
  <si>
    <t>-  21  -</t>
  </si>
  <si>
    <t>FOR THE YEAR ENDED</t>
  </si>
  <si>
    <t>Appendix F: Disclosure of Grants and Subsidies</t>
  </si>
  <si>
    <t>Unspent conditional grants and receipts</t>
  </si>
  <si>
    <t>Rental of facilities and equipment</t>
  </si>
  <si>
    <t>Repairs and maintenance</t>
  </si>
  <si>
    <t>Bank statement balance at the beginning of the year</t>
  </si>
  <si>
    <t>Bank statement balance at the end of the year</t>
  </si>
  <si>
    <t>Advertising</t>
  </si>
  <si>
    <t>New service connections</t>
  </si>
  <si>
    <t>-  26  -</t>
  </si>
  <si>
    <t>ANNUAL FINANCIAL STATEMENTS</t>
  </si>
  <si>
    <t xml:space="preserve">                    ___________________________          </t>
  </si>
  <si>
    <t xml:space="preserve">                               Municipal Manager                                        </t>
  </si>
  <si>
    <t>INDEX</t>
  </si>
  <si>
    <t>Page</t>
  </si>
  <si>
    <t>General Information</t>
  </si>
  <si>
    <t>Statement of Financial Position</t>
  </si>
  <si>
    <t>Statement of Financial Performance</t>
  </si>
  <si>
    <t>Statement of Changes in Net Assets</t>
  </si>
  <si>
    <t>Cash Flow Statement</t>
  </si>
  <si>
    <t>Accounting Policies</t>
  </si>
  <si>
    <t>Notes to the  Financial Statements</t>
  </si>
  <si>
    <t xml:space="preserve">Appendix B: Analysis of Property, Plant and Equipment </t>
  </si>
  <si>
    <t xml:space="preserve">Appendix C: Segmental Analysis of Property, Plant and Equipment </t>
  </si>
  <si>
    <t>Appendix D: Segmental Statement of Financial Performance</t>
  </si>
  <si>
    <t>Appendix E(1): Actual versus Budget (Revenue and Expenditure)</t>
  </si>
  <si>
    <t>Appendix E(2): Actual versus Budget (Acquisition of Property, Plant and Equipment)</t>
  </si>
  <si>
    <t>GENERAL INFORMATION</t>
  </si>
  <si>
    <t>EXECUTIVE MAYOR:</t>
  </si>
  <si>
    <t>SPEAKER:</t>
  </si>
  <si>
    <t>Clr. F. Bhayat</t>
  </si>
  <si>
    <t>CHIEF WHIP</t>
  </si>
  <si>
    <t>MAYORAL COMMITTEE:</t>
  </si>
  <si>
    <t>GRADING OF THE LOCAL MUNICIPALITY</t>
  </si>
  <si>
    <t>AUDITORS:</t>
  </si>
  <si>
    <t>BANKERS:</t>
  </si>
  <si>
    <t>First National Bank</t>
  </si>
  <si>
    <t>REGISTERED OFFICE:</t>
  </si>
  <si>
    <t>Civic Centre</t>
  </si>
  <si>
    <t>P O Box 94</t>
  </si>
  <si>
    <t>Telephone:</t>
  </si>
  <si>
    <t>Commissioner Street</t>
  </si>
  <si>
    <t>Krugersdorp</t>
  </si>
  <si>
    <t>(011) 951 - 2000</t>
  </si>
  <si>
    <t>MUNICIPAL MANAGER:</t>
  </si>
  <si>
    <t>CHIEF FINANCIAL OFFICER</t>
  </si>
  <si>
    <t>Cemetery fees</t>
  </si>
  <si>
    <t>Clr. O. Caldeira</t>
  </si>
  <si>
    <t>Clr. B. Friedman</t>
  </si>
  <si>
    <t>Clr. M. Makola</t>
  </si>
  <si>
    <t>Clr. E. Mathe</t>
  </si>
  <si>
    <t>Clr. P. Moeketsi</t>
  </si>
  <si>
    <t>Clr. N. Ntamane</t>
  </si>
  <si>
    <t>Mr. L. Mahuma</t>
  </si>
  <si>
    <t>Mr. D. Mashitisho</t>
  </si>
  <si>
    <t>Councilors' pension contribution</t>
  </si>
  <si>
    <t>Lebesa SL</t>
  </si>
  <si>
    <t>Oliphant SR</t>
  </si>
  <si>
    <t>Thabe DS</t>
  </si>
  <si>
    <t>Thobela DC</t>
  </si>
  <si>
    <t>L3022143601</t>
  </si>
  <si>
    <t>Contribution to provisions</t>
  </si>
  <si>
    <t>Sundry deposits</t>
  </si>
  <si>
    <t>Assets donated and not budgeted</t>
  </si>
  <si>
    <t>Additional funds received during financial year</t>
  </si>
  <si>
    <t>Outstanding legal matters</t>
  </si>
  <si>
    <t>Special occasions</t>
  </si>
  <si>
    <t xml:space="preserve"> Other</t>
  </si>
  <si>
    <t>GOT-WRDM</t>
  </si>
  <si>
    <t>MIG</t>
  </si>
  <si>
    <t>Current</t>
  </si>
  <si>
    <t>2008</t>
  </si>
  <si>
    <t>Gnl 8050/90210</t>
  </si>
  <si>
    <t>GNL 8040</t>
  </si>
  <si>
    <t>GNL 8060 - Total of account</t>
  </si>
  <si>
    <t>8301/90503 &amp; 8301 90500</t>
  </si>
  <si>
    <t>8301/90501</t>
  </si>
  <si>
    <t>Gnl Acc 8065</t>
  </si>
  <si>
    <t>Gnl acc 8360</t>
  </si>
  <si>
    <t>Gnl 8305</t>
  </si>
  <si>
    <t>Shirley van Niekerk</t>
  </si>
  <si>
    <t>Sewerage</t>
  </si>
  <si>
    <t>Refuse</t>
  </si>
  <si>
    <t>Interest &amp; Other</t>
  </si>
  <si>
    <t>Net balance</t>
  </si>
  <si>
    <t>31 - 60 days</t>
  </si>
  <si>
    <t>61 - 90 days</t>
  </si>
  <si>
    <t>&gt; 90 days</t>
  </si>
  <si>
    <t>Originated during the year</t>
  </si>
  <si>
    <t>Impairment allocated as follows:</t>
  </si>
  <si>
    <t>Receivables (note 9)</t>
  </si>
  <si>
    <t>Payments received in advance transferred to creditors ( note 4.1 )</t>
  </si>
  <si>
    <t>Less: impairment of other debtors</t>
  </si>
  <si>
    <t xml:space="preserve">First National Bank - Corporate account services branch: account number 6204 524 3491 </t>
  </si>
  <si>
    <t>Add back outstanding cheques included as creditors (note 4.1)</t>
  </si>
  <si>
    <t>First National Bank - Corporate account services branch: account number 6204 524 2469</t>
  </si>
  <si>
    <t>First National Bank - Corporate account services branch: account number 6204 523 1074</t>
  </si>
  <si>
    <t>First National Bank - Corporate account services branch: account number 6208 172 0114</t>
  </si>
  <si>
    <t>Retentions</t>
  </si>
  <si>
    <t>Unpresented cheques</t>
  </si>
  <si>
    <t>Payments received in advance transferred from other debtors ( note 14 )</t>
  </si>
  <si>
    <t>Inventory in transit  ( note 12 )</t>
  </si>
  <si>
    <t>Consumer debtors credit balances transferred to creditors ( note 13 )</t>
  </si>
  <si>
    <t>Creditors paid in advance transferred from other debtors  ( note 14 )</t>
  </si>
  <si>
    <t>First National Bank - Corporate account services branch: account number 6208 171 8523</t>
  </si>
  <si>
    <t>First National Bank - Corporate account services branch: account number 6208 171 9274</t>
  </si>
  <si>
    <t>First National Bank - Corporate account services branch: account number 6209 288 6327</t>
  </si>
  <si>
    <t>First National Bank - Corporate account services branch: account number 6212 767 4358</t>
  </si>
  <si>
    <t>ABSA : account number 310 000 027</t>
  </si>
  <si>
    <t>First National Bank - Account number 6217 855 2454</t>
  </si>
  <si>
    <t>Cashbook balance at the end of the year</t>
  </si>
  <si>
    <t xml:space="preserve">Bank statement balance at the beginning of the year </t>
  </si>
  <si>
    <t xml:space="preserve">Bank statement balance at the end of the year </t>
  </si>
  <si>
    <t xml:space="preserve">Petty cash </t>
  </si>
  <si>
    <t>Bank accounts</t>
  </si>
  <si>
    <t xml:space="preserve">Actual </t>
  </si>
  <si>
    <t>Assessment rates</t>
  </si>
  <si>
    <t>Property valuation</t>
  </si>
  <si>
    <t>Balance unspent at the beginning of the year</t>
  </si>
  <si>
    <t>This grant is administrated on behalf of the Department of Housing for the erection of houses.</t>
  </si>
  <si>
    <t>This grant is utilised for training and development of officials in the municipality.</t>
  </si>
  <si>
    <t xml:space="preserve">George Bank 4 </t>
  </si>
  <si>
    <t>Gl101P Credit amounts</t>
  </si>
  <si>
    <t>GL101P-Capital Accounts cr amounts</t>
  </si>
  <si>
    <t>Gl101p-see note 12 - Debtors cr amounts</t>
  </si>
  <si>
    <t>Gl101P-GNS</t>
  </si>
  <si>
    <t>Gl101P-GOT</t>
  </si>
  <si>
    <t>Gl101P-GNS/GPR</t>
  </si>
  <si>
    <t>Gnl 8150</t>
  </si>
  <si>
    <t>Gnl 8350</t>
  </si>
  <si>
    <t>Gnl 8250</t>
  </si>
  <si>
    <t>GFS 200 1702//20106/201116/20121</t>
  </si>
  <si>
    <t>GFS 200 1702//20101</t>
  </si>
  <si>
    <t xml:space="preserve">GFS 200     </t>
  </si>
  <si>
    <t>Government total</t>
  </si>
  <si>
    <t>Non rateable property</t>
  </si>
  <si>
    <t>GFS 400</t>
  </si>
  <si>
    <t>1213/20301 &amp; 1215-20306/20311 &amp; 1211 21343</t>
  </si>
  <si>
    <t>1443/20221 &amp; 1450-20501/20506/20522/20515</t>
  </si>
  <si>
    <t>GFS 1600</t>
  </si>
  <si>
    <t>1409/22012</t>
  </si>
  <si>
    <t>1401/22021</t>
  </si>
  <si>
    <t>1502/2203</t>
  </si>
  <si>
    <t>1736/22032</t>
  </si>
  <si>
    <t>Gfs 1600 1221/22022</t>
  </si>
  <si>
    <t>GFS 1600 1287/23010-1614/23010-1277/25011-1287/25011</t>
  </si>
  <si>
    <t>Training grant</t>
  </si>
  <si>
    <t>6kl@   50kwh@            and subsidy for other services</t>
  </si>
  <si>
    <t>GFS 300</t>
  </si>
  <si>
    <t>GFS 3400</t>
  </si>
  <si>
    <t>Must balance to I/E total</t>
  </si>
  <si>
    <t>Appendix B</t>
  </si>
  <si>
    <t>GFS 3900</t>
  </si>
  <si>
    <t>GFS 800</t>
  </si>
  <si>
    <t>Add your Call investments+petty cash+floats+current bank accounts</t>
  </si>
  <si>
    <t>8220/9042</t>
  </si>
  <si>
    <t>Guarantee's held by ESKOM for MCLM elect accounts</t>
  </si>
  <si>
    <t>Tsheliki</t>
  </si>
  <si>
    <t>Renell</t>
  </si>
  <si>
    <t xml:space="preserve">Tsheliki </t>
  </si>
  <si>
    <t>GFS 200</t>
  </si>
  <si>
    <t>GFS 700</t>
  </si>
  <si>
    <t>GFS 1000</t>
  </si>
  <si>
    <t>GFS 1300</t>
  </si>
  <si>
    <t>GFS 1400</t>
  </si>
  <si>
    <t>GFS 1500</t>
  </si>
  <si>
    <t>GFS 1700</t>
  </si>
  <si>
    <t>Gnl income total. Run gnl glextract= 8020/</t>
  </si>
  <si>
    <t>GFS3000/3100</t>
  </si>
  <si>
    <t>GFS 3700</t>
  </si>
  <si>
    <t>GFS3800</t>
  </si>
  <si>
    <t>GFS4100</t>
  </si>
  <si>
    <t>GFS 4200</t>
  </si>
  <si>
    <t>GFS 4400</t>
  </si>
  <si>
    <t>GFS 4300</t>
  </si>
  <si>
    <t>GFS 2500</t>
  </si>
  <si>
    <t xml:space="preserve">Use gltrial balance </t>
  </si>
  <si>
    <t>Must balance to appropriation account</t>
  </si>
  <si>
    <t>Refer note 18 for reconciliation of grants from other spheres of government.</t>
  </si>
  <si>
    <t>Sundry loans consist of study loans for residents and ex employees of MCLM, loans to the Krugersdorp squash club to build a clubhouse,  loans to Gasbeton for  brickworks .
The impairment of receivables consists of all long outstanding receivables outstanding for longer than 90 days.</t>
  </si>
  <si>
    <t>Bontle Ke Botho</t>
  </si>
  <si>
    <t>Seta training grant</t>
  </si>
  <si>
    <t>Carrying value</t>
  </si>
  <si>
    <t xml:space="preserve">18.1 Equitable share </t>
  </si>
  <si>
    <t>18.2 Provincial health subsidies</t>
  </si>
  <si>
    <t>18.3 MIG grant</t>
  </si>
  <si>
    <t>18.5 Finance management grant</t>
  </si>
  <si>
    <t xml:space="preserve">27.1 Contributions to organized local government </t>
  </si>
  <si>
    <t>27.2 Audit fees</t>
  </si>
  <si>
    <t>27.3 Value added taxation</t>
  </si>
  <si>
    <t>27.4 PAYE and UIF</t>
  </si>
  <si>
    <t>27.5 Pension and medical aid deductions</t>
  </si>
  <si>
    <t>27.6 Councilor's arrear consumer accounts</t>
  </si>
  <si>
    <t>27.7 Related parties</t>
  </si>
  <si>
    <t>Carrying value at the beginning of the year</t>
  </si>
  <si>
    <t>Carrying value at the end of the year</t>
  </si>
  <si>
    <t>Capitalised during the year</t>
  </si>
  <si>
    <t>Less: impairment of obsolete inventory</t>
  </si>
  <si>
    <t>Gross balance</t>
  </si>
  <si>
    <t>Consumer debtors credit balances transferred to creditors ( note 4.1 )</t>
  </si>
  <si>
    <t>Impairment of consumer debtors</t>
  </si>
  <si>
    <t>(Electricity, water, sewerage and refuse): ageing</t>
  </si>
  <si>
    <t>Bad debt written off / reversals during the year</t>
  </si>
  <si>
    <t>Consumer debtors (note 13)</t>
  </si>
  <si>
    <t>Other debtors (note14)</t>
  </si>
  <si>
    <t>March - 2008</t>
  </si>
  <si>
    <t>Quarterly expenditure</t>
  </si>
  <si>
    <t>Quarterly receipts</t>
  </si>
  <si>
    <t>Conditional grants</t>
  </si>
  <si>
    <t>Building for sport and recreation programme</t>
  </si>
  <si>
    <t>WRDM allocations</t>
  </si>
  <si>
    <t>Municipal improvement systems</t>
  </si>
  <si>
    <t>Health subsidies</t>
  </si>
  <si>
    <t>I certify that the salaries, allowances and benefits of Councilors as disclosed in note 20 of these annual financial statements are within the upper limits of the framework envisaged in Section 219 of the Constitution, read with the Remuneration of Public Officer Bearers Act and the Minister of Provincial and Local Government’s determination in accordance with this Act.</t>
  </si>
  <si>
    <t>Offsetting of depreciation on property, plant and equipment</t>
  </si>
  <si>
    <t>This is the function total of account 8020</t>
  </si>
  <si>
    <t>GNL 8020/90002 - bad debt provision contribution</t>
  </si>
  <si>
    <t>Less: impairment of receivables</t>
  </si>
  <si>
    <t>Stand &amp; housing loans are available to buyers of property within Mogale City. These loans are granted and repayable with interest in terms of Council's policy.</t>
  </si>
  <si>
    <t>Rental: traffic speed cameras</t>
  </si>
  <si>
    <t>c) Councilors, and</t>
  </si>
  <si>
    <t>Opening accumulated deficit</t>
  </si>
  <si>
    <t>Expenditure  account</t>
  </si>
  <si>
    <t>Debt pack (debt collectors)  account</t>
  </si>
  <si>
    <t>Ramathe Fivaz (debt collectors)  account</t>
  </si>
  <si>
    <t>Traffic fines  account</t>
  </si>
  <si>
    <t>Direct deposit  account</t>
  </si>
  <si>
    <t>Primary  account</t>
  </si>
  <si>
    <t>Snyman &amp; Heymans (debt collectors)  account</t>
  </si>
  <si>
    <t>Grants account</t>
  </si>
  <si>
    <t>Trust account: T. Madikane</t>
  </si>
  <si>
    <t>Previous AFS  figure</t>
  </si>
  <si>
    <t>must balance with note CASH GENERATED BY OPERATIONS (note 23)</t>
  </si>
  <si>
    <t>Chabano constructions</t>
  </si>
  <si>
    <t>Correction of error value added taxation (note 29.1.1)</t>
  </si>
  <si>
    <t>Correction of error sundry creditors (note 29.1.1)</t>
  </si>
  <si>
    <t>Correction of error other debtors (note 29.1.2)</t>
  </si>
  <si>
    <t>Impact on statement of changes in net assets</t>
  </si>
  <si>
    <t>The impact of the errors on the statement of changes in net assets of the above is as follows:</t>
  </si>
  <si>
    <t>Correction of error saleable land (note 29.1.5)</t>
  </si>
  <si>
    <t>Stannic loans: guarantees</t>
  </si>
  <si>
    <t>TB Long term receivables Movement between two fin yrs</t>
  </si>
  <si>
    <t>TB movement between two fin yrs</t>
  </si>
  <si>
    <t>TB Investments movement between two  fin yrs</t>
  </si>
  <si>
    <t>Capital replacement movement between two fin  yrs</t>
  </si>
  <si>
    <t>Prev fin yr closing balance of the bank recon</t>
  </si>
  <si>
    <t>Prev fin yr closing balance of the bank recon minus actual bank balance  8220/90420</t>
  </si>
  <si>
    <t>at 1 July 2007</t>
  </si>
  <si>
    <t>at 30 June 2008</t>
  </si>
  <si>
    <t>30 June 2008</t>
  </si>
  <si>
    <t>8220/90400</t>
  </si>
  <si>
    <t>GNL 8010</t>
  </si>
  <si>
    <t>GNL 8170</t>
  </si>
  <si>
    <t>8170/90350 Debtors</t>
  </si>
  <si>
    <t>8170/90360</t>
  </si>
  <si>
    <t>8220/90422</t>
  </si>
  <si>
    <t>8220/90421</t>
  </si>
  <si>
    <t>8220/90424</t>
  </si>
  <si>
    <t>8220/90428</t>
  </si>
  <si>
    <t>8220/90425</t>
  </si>
  <si>
    <t>8220/90426</t>
  </si>
  <si>
    <t>8220/90427</t>
  </si>
  <si>
    <t>8220/90429</t>
  </si>
  <si>
    <t>8220/90420</t>
  </si>
  <si>
    <t>8220/90401</t>
  </si>
  <si>
    <t>30th June 2008</t>
  </si>
  <si>
    <t>Mamonare</t>
  </si>
  <si>
    <t>Mamonare/Tsheliki</t>
  </si>
  <si>
    <t>July 2008</t>
  </si>
  <si>
    <t>Japhter/Marietjie</t>
  </si>
  <si>
    <t>Shirley van Niekerk/Nomvuzo</t>
  </si>
  <si>
    <t>Tsheliki/Douw</t>
  </si>
  <si>
    <t>Gl104P  - Gl 103P  Gnl acc 8150-Debtors</t>
  </si>
  <si>
    <t>Japhter/Tsheliki</t>
  </si>
  <si>
    <t>Japhter/Marietjie/George</t>
  </si>
  <si>
    <t>Shirley van Niekerk/Alta/Marlize</t>
  </si>
  <si>
    <t>ITEM 1002/1029/1031/1625/1719/1025</t>
  </si>
  <si>
    <t>ITEM 1003/1618</t>
  </si>
  <si>
    <t>ITEM 1005/1017/1021/1619</t>
  </si>
  <si>
    <t>ITEM 1019</t>
  </si>
  <si>
    <t>ITEM 1011</t>
  </si>
  <si>
    <t>Bonus payments</t>
  </si>
  <si>
    <t>ITEM 1001/1007/1016/1020/1010/1026/1028/1036/1831/1998/8971/8994</t>
  </si>
  <si>
    <t>MUST BALANCE TO  FACE OF BALANCE SHEET P/LOSS  8020 function total</t>
  </si>
  <si>
    <t>GNS-MIG (GL101P)</t>
  </si>
  <si>
    <t>GNS6939214/15/16/17/18 (GL101P)</t>
  </si>
  <si>
    <t>GNS-FMG (GL101P)</t>
  </si>
  <si>
    <t>GFS1600</t>
  </si>
  <si>
    <t>GFS 1600 vote 22020</t>
  </si>
  <si>
    <t>Balance sheet  DIFFERENCES</t>
  </si>
  <si>
    <t>must balance to cash flow Statement</t>
  </si>
  <si>
    <t>C081041</t>
  </si>
  <si>
    <t xml:space="preserve">      </t>
  </si>
  <si>
    <t>S120-S217</t>
  </si>
  <si>
    <t>Pumeza Moila</t>
  </si>
  <si>
    <t>Ms J Hubner</t>
  </si>
  <si>
    <t>South African Post Office Limited</t>
  </si>
  <si>
    <t>gnl 8305 see history analysis</t>
  </si>
  <si>
    <t>Bank recon suspense account</t>
  </si>
  <si>
    <t>Application fees</t>
  </si>
  <si>
    <t>Print  pay slips F7 YTD figures</t>
  </si>
  <si>
    <t>item 21303/21307</t>
  </si>
  <si>
    <t>item 21312</t>
  </si>
  <si>
    <t>item 24047</t>
  </si>
  <si>
    <t>item 24052/24053</t>
  </si>
  <si>
    <t>item 24042/24048</t>
  </si>
  <si>
    <t>item 24046/24043/24044/22404</t>
  </si>
  <si>
    <t>item 21327</t>
  </si>
  <si>
    <t>item 26006</t>
  </si>
  <si>
    <t>item 21319</t>
  </si>
  <si>
    <t>item 23032</t>
  </si>
  <si>
    <t>item 24020</t>
  </si>
  <si>
    <t xml:space="preserve">item 24011/24013/24014-More than R400,000 </t>
  </si>
  <si>
    <t>Restate 07 figure with  admin fee amt</t>
  </si>
  <si>
    <t>CRV &amp; CRE  (DT amounts)</t>
  </si>
  <si>
    <t>1450-2873/1630-2873</t>
  </si>
  <si>
    <t>1409-2642</t>
  </si>
  <si>
    <t>GNL 8031</t>
  </si>
  <si>
    <t xml:space="preserve">GL101P  </t>
  </si>
  <si>
    <t>Gnl 8110/90285 - CHC</t>
  </si>
  <si>
    <t>Gnl 8110/90299 - STC</t>
  </si>
  <si>
    <t>GL104P - CON</t>
  </si>
  <si>
    <t>8170/90351 - CID</t>
  </si>
  <si>
    <t>8110/90280 - CHL</t>
  </si>
  <si>
    <t>8110/90283- STL</t>
  </si>
  <si>
    <t>Gnl acc 8151</t>
  </si>
  <si>
    <t>USE GL103P/GL101P  - CON credit amount</t>
  </si>
  <si>
    <t>Transfer Cr amounts of debtor accounts to note 4=creditors</t>
  </si>
  <si>
    <t xml:space="preserve">8190/90390 </t>
  </si>
  <si>
    <t>Gnl 8220 total plus outstanding #/credit balances</t>
  </si>
  <si>
    <t>Appendix E/I&amp;E statement</t>
  </si>
  <si>
    <t>Appendix E / I&amp;E statement - Note 21</t>
  </si>
  <si>
    <t>SUN 190873</t>
  </si>
  <si>
    <t xml:space="preserve">Account closed </t>
  </si>
  <si>
    <t>Account closed 19 April 2007</t>
  </si>
  <si>
    <t>Account closed  5 May 2008</t>
  </si>
  <si>
    <t>Account closed 5 May 2008</t>
  </si>
  <si>
    <t>notes</t>
  </si>
  <si>
    <t>curr assets</t>
  </si>
  <si>
    <t>curr liab</t>
  </si>
  <si>
    <t>Balance sheet  DIFF cred+sundry dep</t>
  </si>
  <si>
    <t>must bal to i/e</t>
  </si>
  <si>
    <t>F-D</t>
  </si>
  <si>
    <t>D-F</t>
  </si>
  <si>
    <t>Account 8020</t>
  </si>
  <si>
    <t>run the GLGFSCFUNGSUM</t>
  </si>
  <si>
    <t>INCOME</t>
  </si>
  <si>
    <t>EXP</t>
  </si>
  <si>
    <t>MUST BALANCE WITH I/E</t>
  </si>
  <si>
    <t>Balance at the end of the year (unpaid included in creditors)</t>
  </si>
  <si>
    <t>note 6 total</t>
  </si>
  <si>
    <t>call inv</t>
  </si>
  <si>
    <t>curr bank note 14</t>
  </si>
  <si>
    <t>Adjustment</t>
  </si>
  <si>
    <t xml:space="preserve"> Adjustment to closing balance</t>
  </si>
  <si>
    <t xml:space="preserve">Marietjie 's calculation : Short term portion of LT Liabilities( CAPITAL) </t>
  </si>
  <si>
    <t>2010/03/31</t>
  </si>
  <si>
    <t>2018/08/31</t>
  </si>
  <si>
    <t>2022/03/31</t>
  </si>
  <si>
    <t>2024/03/31</t>
  </si>
  <si>
    <t>2010/12/31</t>
  </si>
  <si>
    <t>2006/12/31</t>
  </si>
  <si>
    <t>2014/06/30</t>
  </si>
  <si>
    <t>2016/05/31</t>
  </si>
  <si>
    <t>GL 101P - EXL</t>
  </si>
  <si>
    <t xml:space="preserve">Notes </t>
  </si>
  <si>
    <t xml:space="preserve"> GRAP 5 - Japhter/Marietjie</t>
  </si>
  <si>
    <t>GRAP 19    Shirley/Nomvuzo</t>
  </si>
  <si>
    <t>8060/90221 dt amnt Monies are reserved as a guarantee at the debtors 
bank**GL108P COUPLED ACCOUNTS con with cbg</t>
  </si>
  <si>
    <t>Mamonare /Armanda  -GL101P - CDP</t>
  </si>
  <si>
    <t>Gl101P -CRE &amp; CRV (dt  creditor amounts)We add this back and disclose under other debtors</t>
  </si>
  <si>
    <t>C0190873</t>
  </si>
  <si>
    <t xml:space="preserve">Account 190873 journals SARS need to refund us </t>
  </si>
  <si>
    <t>Transfer from inventory 8150/90300</t>
  </si>
  <si>
    <t>8301/90500</t>
  </si>
  <si>
    <t>G101P - SDP</t>
  </si>
  <si>
    <t>NOMVUSO WILL GIVE YOU A RECONCILIATION</t>
  </si>
  <si>
    <t>STATEMENT OF FINANCIAL POSITION AS AT 30 JUNE 2009</t>
  </si>
  <si>
    <t>STATEMENT OF FINANCIAL PERFORMANCE FOR THE YEAR ENDED 30 JUNE 2009</t>
  </si>
  <si>
    <t>STATEMENT OF CHANGES IN NET ASSETS FOR THE YEAR ENDED 30 JUNE 2009</t>
  </si>
  <si>
    <t>Balance at 30 June 2008 (restated)</t>
  </si>
  <si>
    <t>Balance at 30 June 2009</t>
  </si>
  <si>
    <t>Balance at 30 June 2007 ( restated)</t>
  </si>
  <si>
    <t>all amounts older than 120 days</t>
  </si>
  <si>
    <t>July 2009</t>
  </si>
  <si>
    <t>REFER TO NOTE 8</t>
  </si>
  <si>
    <t>MARIETJIE SKEDULE</t>
  </si>
  <si>
    <t>30th June 2009</t>
  </si>
  <si>
    <t>TSHEPO</t>
  </si>
  <si>
    <t>30 June 2009</t>
  </si>
  <si>
    <t>at 1 July 2008</t>
  </si>
  <si>
    <t>at 30 June 2009</t>
  </si>
  <si>
    <t>NOTES TO THE FINANCIAL STATEMENTS FOR THE YEAR ENDED 30 JUNE 2009</t>
  </si>
  <si>
    <t>REFER TO APPENDIX B</t>
  </si>
  <si>
    <t>OPENING BALANCE COST</t>
  </si>
  <si>
    <t>OPENING BALANCE ACC DEPRECIATION</t>
  </si>
  <si>
    <t>DEPR TOTAL FOR THE YEAR</t>
  </si>
  <si>
    <t>PURCHASES FOR THE YEAR</t>
  </si>
  <si>
    <t>NETT VALUE ASS - DEPR</t>
  </si>
  <si>
    <t>MUST BALANCE TO GL 8100</t>
  </si>
  <si>
    <t>SCHEDULE OF EXTERNAL BORROWINGS AS AT 30 JUNE 2009</t>
  </si>
  <si>
    <t>L103217(1)</t>
  </si>
  <si>
    <t>L103217(2)</t>
  </si>
  <si>
    <t>CASH FLOW STATEMENT FOR THE YEAR ENDED 30 JUNE 2009</t>
  </si>
  <si>
    <t>ANALYSIS OF PROPERTY, PLANT &amp; EQUIPMENT AS AT 30 JUNE 2009</t>
  </si>
  <si>
    <t>SEGMENTAL ANALYSIS OF PROPERTY, PLANT &amp; EQUIPMENT AS AT 30 JUNE 2009</t>
  </si>
  <si>
    <t>30 JUNE 2009</t>
  </si>
  <si>
    <t>Rember system shows cheque but when did we actually pay the receiver</t>
  </si>
  <si>
    <t>if payment is in July deduct from pd current yr</t>
  </si>
  <si>
    <t>Remuneration of Chief operating officer</t>
  </si>
  <si>
    <t>Cindi CC</t>
  </si>
  <si>
    <t>Molele NV</t>
  </si>
  <si>
    <t>TSHELIKI TO PREPARE SCHEDULE</t>
  </si>
  <si>
    <t>ACTUAL VERSUS BUDGET (ACQUISITION OF PROPERTY, PLANT &amp; EQUIPMENT) FOR THE YEAR ENDED 30 JUNE 2009</t>
  </si>
  <si>
    <t>FOR THE YEAR ENDED 30 JUNE 2009</t>
  </si>
  <si>
    <t>MSIG grants</t>
  </si>
  <si>
    <t>Municipal systems improvement  grant</t>
  </si>
  <si>
    <t>Ntlatlane CN</t>
  </si>
  <si>
    <t>Starkey PR</t>
  </si>
  <si>
    <t>1736/2568</t>
  </si>
  <si>
    <t>C080599</t>
  </si>
  <si>
    <t>Unclaimed monies</t>
  </si>
  <si>
    <t>bal sheet</t>
  </si>
  <si>
    <t>INVESTMENT AND LOANS\Loans Register 200809.xls</t>
  </si>
  <si>
    <t>NOTE 2 PROVISIONS\MADIKANE GL8031.xls</t>
  </si>
  <si>
    <t>NOTE 2 PROVISIONS\COLLATER.xls</t>
  </si>
  <si>
    <t>Cidoonio Lourenco/Percy Stewart</t>
  </si>
  <si>
    <t>David Temple Nourse</t>
  </si>
  <si>
    <t>Chamdor Meat Packers</t>
  </si>
  <si>
    <t>A E van Tonder</t>
  </si>
  <si>
    <t>Charles Deetlefs</t>
  </si>
  <si>
    <t>The plaintiff has instituted a civil action against Mogale City Local Municipality in the Krugersdorp Magistrate Court for ungraded and unrehabilitated road.  The plaintiff alleges that his motor vehicle's engine was damaged as a result of the road that was not properly maintained by the Municipality. The Municipality has instructed Messrs Sepamla Mosalakae Attorneys to defend the matter.  Amount claimed R20 000.</t>
  </si>
  <si>
    <t>Gunter Hauter</t>
  </si>
  <si>
    <t>The plaintiff is an event organizer and is suing the municipality for cancellation of an agreement, in that the municipality contracted with them to organize an event in the Mayoral office and that the municipality failed to give a proper notice before terminating the agreement. .The applicant claims that as result of termination of the agreement by the Municipality they suffered damages . The matter was set down for interlocutory application  to comply. The main case is still pending.  Amount claimed: R72 000.</t>
  </si>
  <si>
    <t>The applicant was employed by the municipality on a fixed term contract. The applicant referred the matter to the CCMA for constructive dismissal and was awarded  compensation for unfair dismissal. The municipality has now filled notices to rescind the arbitration award.  The matter is still pending at the bargaining council Amount claimed: R150 000.</t>
  </si>
  <si>
    <t>Moteo group</t>
  </si>
  <si>
    <t>The applicant were contracted by the municipality to construct low cost housing by the municipality. The agreement was cancelled by the municipality after the withdrawal of funding by the Department of Housing.  The applicant is suing the municipality for damages suffered as a result of the cancellation of the contract. The municipality has instructed attorney's to defend this matter . The attorneys has lodged an application to join the Department of Housing as a necessary party. The matter is still pending in the High Court.  Amount claimed: R3 200 000.</t>
  </si>
  <si>
    <t>Mathye Construction</t>
  </si>
  <si>
    <t>Basic water supply target</t>
  </si>
  <si>
    <t>must balance with cash flow from operating activities - cash flow statement</t>
  </si>
  <si>
    <t>Must balance to note 25</t>
  </si>
  <si>
    <t>ptev ye</t>
  </si>
  <si>
    <t>current yr</t>
  </si>
  <si>
    <t>The following amounts were charged to the statement of financial performance: Stock count adjustment at year end R 227 207 - other inventory adjustment during the year R32 583 and obsolete stock write off  R172 899.</t>
  </si>
  <si>
    <t>guarantee</t>
  </si>
  <si>
    <t>8190-90383 &amp; 8190 90382</t>
  </si>
  <si>
    <t>8190-90380/ - SUN/PCS/PIP</t>
  </si>
  <si>
    <t>use only dt amounts of gl101p:SUN&amp;CID&amp;CHL&amp;STL</t>
  </si>
  <si>
    <t>Purchase and distribution of 240l bins</t>
  </si>
  <si>
    <t>Rental: office space</t>
  </si>
  <si>
    <t>The municipality has received a letter of demand from C Lourenco. The claim is based on the allegation of water pollution caused by the municipality from Percy Stewart  water care works which killed cows and goats of the claimant. The sub section is investigating this claim and has requested further particulars from the complainant. Amount claimed: R82 400.</t>
  </si>
  <si>
    <t>The applicant was contracted by the municipality to construct low cost housing for the municipality. The agreement was cancelled by the municipality after the withdrawal of funding by the Department of Housing.  The applicant is suing the municipality for damages suffered as a result of the cancellation of the contract. The municipality has instructed attorney's to defend this matter . The attorneys has lodged an application to join the Department of Housing as a necessary party. The matter is still pending in the High Court.  Amount claimed: R3 200 000.</t>
  </si>
  <si>
    <t>The applicant was contracted by the municipality to construct low cost housing. The agreement was cancelled by the municipality after withdrawal of funding by the Department of Housing. The applicant is suing the municipality for damages suffered as a result of the cancellation of the contract. The municipality has instructed attorneys to defend this matter. The appointed attorneys have lodged an application to join the Department of Housing as a necessary party. The matter is still pending in the high court. Amount claimed R11 000 000</t>
  </si>
  <si>
    <t>Gunter Hauteur</t>
  </si>
  <si>
    <t>Current lease liability</t>
  </si>
  <si>
    <t>Water inventory</t>
  </si>
  <si>
    <t>Bulk services</t>
  </si>
  <si>
    <t>SRAC</t>
  </si>
  <si>
    <t>DWAF</t>
  </si>
  <si>
    <t>DMEA</t>
  </si>
  <si>
    <t>GDSD</t>
  </si>
  <si>
    <t>DLG Water Targets</t>
  </si>
  <si>
    <t>DLG Restructuring</t>
  </si>
  <si>
    <t>18.6 Department of Sports, Arts, Culture and Recreation</t>
  </si>
  <si>
    <t>Conditions met -VAT</t>
  </si>
  <si>
    <t>18.7 Department of Water of Affairs</t>
  </si>
  <si>
    <t>18.8 Department of Minerals And Energy Affairs</t>
  </si>
  <si>
    <t>18.9 Department of Social development</t>
  </si>
  <si>
    <t>DLG -Restructuring Grant</t>
  </si>
  <si>
    <t>DLG- Water Targets</t>
  </si>
  <si>
    <t>2007-2008</t>
  </si>
  <si>
    <t>GNL 8042</t>
  </si>
  <si>
    <t>GNL 8041</t>
  </si>
  <si>
    <t>1438- 20201/20206/20211/20226/20241/1443-20221</t>
  </si>
  <si>
    <t>1470-20401/20406/1212/21463</t>
  </si>
  <si>
    <t>Rental: trucks , water tanks and vacuum tankers</t>
  </si>
  <si>
    <t>Service costs</t>
  </si>
  <si>
    <t>Membership fees</t>
  </si>
  <si>
    <t>Printing</t>
  </si>
  <si>
    <t>Residential tariff rebate</t>
  </si>
  <si>
    <t>Residential valuation rebate</t>
  </si>
  <si>
    <t>Revenue improvement</t>
  </si>
  <si>
    <t>Stationery</t>
  </si>
  <si>
    <t>Accumulated deficit balance at 01 July 2007 as previously reported</t>
  </si>
  <si>
    <t>Accumulated deficit balance at 01 July 2008 restated</t>
  </si>
  <si>
    <t>Surplus for the year 30 June 2008 as previously reported</t>
  </si>
  <si>
    <t>Surplus for the year 30 June 2008 restated</t>
  </si>
  <si>
    <t>8020 error account for 2008</t>
  </si>
  <si>
    <t xml:space="preserve">Non distributable reserve </t>
  </si>
  <si>
    <t>Fixed assets - finance lease and other</t>
  </si>
  <si>
    <t>Finance lease asset</t>
  </si>
  <si>
    <t>Finance lease liability</t>
  </si>
  <si>
    <t>Correction of errors and grap implementation</t>
  </si>
  <si>
    <t>Post- retirement medical provision</t>
  </si>
  <si>
    <t>Annual Expense for post retirement costs</t>
  </si>
  <si>
    <t xml:space="preserve">Other </t>
  </si>
  <si>
    <t>Corrections for 2007</t>
  </si>
  <si>
    <t>Surplus for the year previously reported</t>
  </si>
  <si>
    <t>June - 2008</t>
  </si>
  <si>
    <t>September - 2008</t>
  </si>
  <si>
    <t>December - 2008</t>
  </si>
  <si>
    <t>March - 2009</t>
  </si>
  <si>
    <t>Social Development</t>
  </si>
  <si>
    <t>Provincial</t>
  </si>
  <si>
    <t>Restructuring grant</t>
  </si>
  <si>
    <t>DLG</t>
  </si>
  <si>
    <t>National Water Targets</t>
  </si>
  <si>
    <t>Surplus for the year restated</t>
  </si>
  <si>
    <t>Actuarial gain</t>
  </si>
  <si>
    <t>Actuarial loss</t>
  </si>
  <si>
    <t>Correction to prior year surplus</t>
  </si>
  <si>
    <t xml:space="preserve">Opening Accrued Liability </t>
  </si>
  <si>
    <t xml:space="preserve">Current-service Cost </t>
  </si>
  <si>
    <t xml:space="preserve">Interest Cost </t>
  </si>
  <si>
    <t xml:space="preserve">Contributions (benefits paid) </t>
  </si>
  <si>
    <t xml:space="preserve">Total Annual Expense </t>
  </si>
  <si>
    <t xml:space="preserve">Actuarial Loss / (Gain) </t>
  </si>
  <si>
    <t xml:space="preserve">Closing Accrued Liability </t>
  </si>
  <si>
    <t>The Municipality offers employees and continuation members the opportunity of belonging to one of several medical aid schemes, most of which offer a range of options pertaining to levels of cover.</t>
  </si>
  <si>
    <t>Upon retirement, an employee may continue membership of the medical scheme. Upon a member's death-in-service or death-in-retirement, the surviving dependants may continue membership of the scheme.</t>
  </si>
  <si>
    <t xml:space="preserve">Category of Member </t>
  </si>
  <si>
    <t xml:space="preserve">In-service members </t>
  </si>
  <si>
    <t xml:space="preserve">Continuation members </t>
  </si>
  <si>
    <t xml:space="preserve">All members </t>
  </si>
  <si>
    <t xml:space="preserve">Total liability </t>
  </si>
  <si>
    <t xml:space="preserve">Value of assets </t>
  </si>
  <si>
    <t xml:space="preserve">Unfunded liability </t>
  </si>
  <si>
    <t xml:space="preserve">Assumption </t>
  </si>
  <si>
    <t xml:space="preserve">Discount rate </t>
  </si>
  <si>
    <t xml:space="preserve">Health care cost inflation rate </t>
  </si>
  <si>
    <t xml:space="preserve">Net effective discount rate </t>
  </si>
  <si>
    <t>Sensitivity Analysis on the Accrued Liability (R Millions)</t>
  </si>
  <si>
    <t xml:space="preserve">Central Assumptions </t>
  </si>
  <si>
    <t xml:space="preserve">Health care inflation </t>
  </si>
  <si>
    <t xml:space="preserve">Post-retirement mortality </t>
  </si>
  <si>
    <t xml:space="preserve">Average retirement age </t>
  </si>
  <si>
    <t xml:space="preserve">Withdrawal Rate </t>
  </si>
  <si>
    <t>Sensitivity Analysis on the Current-service and Interest Costs for the year ending 30/06/2009</t>
  </si>
  <si>
    <t xml:space="preserve">30/06/2009 </t>
  </si>
  <si>
    <t xml:space="preserve">Value p.a. </t>
  </si>
  <si>
    <t xml:space="preserve">Change </t>
  </si>
  <si>
    <t xml:space="preserve">In-service </t>
  </si>
  <si>
    <t xml:space="preserve">Continuation </t>
  </si>
  <si>
    <t xml:space="preserve">Total </t>
  </si>
  <si>
    <t xml:space="preserve">% change </t>
  </si>
  <si>
    <t xml:space="preserve">-1 yr </t>
  </si>
  <si>
    <t>Correction of errors as per 2008 Annual Financial Statements</t>
  </si>
  <si>
    <t>Within one year</t>
  </si>
  <si>
    <t>In the second to fifth year inclusive</t>
  </si>
  <si>
    <t>After five years</t>
  </si>
  <si>
    <t>Amounts payable under finance leases</t>
  </si>
  <si>
    <t>Less: Amount due for settlement within 12 months</t>
  </si>
  <si>
    <t xml:space="preserve"> Payment </t>
  </si>
  <si>
    <t>Future Finance</t>
  </si>
  <si>
    <t>Charges</t>
  </si>
  <si>
    <t>lease payments</t>
  </si>
  <si>
    <t xml:space="preserve">  </t>
  </si>
  <si>
    <t>Decrease/(Increase) in creditors</t>
  </si>
  <si>
    <t>Transfer from fixed assets</t>
  </si>
  <si>
    <t>Opening
 balance</t>
  </si>
  <si>
    <t>Asset Review</t>
  </si>
  <si>
    <t>Lease asets</t>
  </si>
  <si>
    <t>Reconciliation of the impairment of debtors</t>
  </si>
  <si>
    <t>deep</t>
  </si>
  <si>
    <t>Developers: roads and storm water</t>
  </si>
  <si>
    <t>Guarantees held in lieu of electricity and water consumer deposits was R7 267 406 (2009) and  R6 908 860 (2008).</t>
  </si>
  <si>
    <t>Total provisions</t>
  </si>
  <si>
    <t xml:space="preserve"> FOR THE YEAR ENDED 30 JUNE 2009</t>
  </si>
  <si>
    <t>ACTUAL VERSUS BUDGET (REVENUE &amp; EXPENDITURE)</t>
  </si>
  <si>
    <t>Clr. M. Khuzwayo</t>
  </si>
  <si>
    <t>Correction of error bulk service contributions</t>
  </si>
  <si>
    <t>A sundry debtor was created for sale of land and the total purchased price restated.</t>
  </si>
  <si>
    <t>Bulk service contributions</t>
  </si>
  <si>
    <t>Debtor accounts created to issue statements to developers for bulk services.</t>
  </si>
  <si>
    <t>Current lease assets</t>
  </si>
  <si>
    <t>Leave provision as previously reported</t>
  </si>
  <si>
    <t xml:space="preserve">Correction of error </t>
  </si>
  <si>
    <t>Leave provision balance restated</t>
  </si>
  <si>
    <t>Unspent conditional grants balance restated</t>
  </si>
  <si>
    <t>Water stock</t>
  </si>
  <si>
    <t>Amortisation during the year</t>
  </si>
  <si>
    <t>pay no 9524401</t>
  </si>
  <si>
    <t>Trust account. Madikane</t>
  </si>
  <si>
    <t>The Municipality has instructed messrs Smith van der Watt to defend the matter against Chamdor Meat Packers. The account statement issued to Chamdor Meat Packers was intercepted and fake letterheads were used to inform Chamdor Meat Packers that the Municipality has changed its bank account. The plaintiff deposited the money into the incorrect bank account held with FNB.  As result of defaulting the account, the municipality terminated the services of Chamdor Meat Packers who are now claiming damages for spoiled products. A criminal case of fraud has been opened . The matter is still pending in the High Court and pleadings have already been filed by the attorneys. Amount claimed R360 000.</t>
  </si>
  <si>
    <t>The account of the plaintiff does not reflect in Mogale City Local Municipality meter reading system. The plaintiff alleges to have bought water from Spar however he cannot access  the purchased . On the day of court sitting he produced a receipt with invisible figure and was instructed to bring a visible receipts. The case was redemanded until 7 September 2009. Amount claimed R3 600.</t>
  </si>
  <si>
    <t>The plaintiff is suing  Mogale City Local Municipality for damages incurred of the following:- a) Flight ticket from Thailand to South Africa , b) Damages of the contents of the refrigerator as a result of power cutting.  The plaintiff went to German and Thailand for business matters . His property was rented to Mr van Niekerk who later  opened an account  for electricity and water with the muncipality,while Mr. G Haunteur was abroad on business ,Mr. Van Niekerk called  him to complain about terminated services ,as a result Mr G Hauteur is claiming  for his urgent travelling cost. The Municipality has instructed Messrs Sepamla Mosalakae Attorneys to defend the matter.  Amount claimed R25 691.</t>
  </si>
  <si>
    <t>The applicant was employed by the municipality on a fixed term contract ,on expiry of the   municipality opted not to extend The applicant referred the matter to  CCMA for constructive dismissal and was awarded  compensation for unfair dismissal. The municipality has now filled notices to rescind the arbitration award.  The matter is still pending at the bargaining council Amount claimed: R150 000.</t>
  </si>
  <si>
    <t>Electricity peak control</t>
  </si>
  <si>
    <t>Asset depreciation</t>
  </si>
  <si>
    <t>Lease Liabilities previously reported</t>
  </si>
  <si>
    <t>Consumer debtors balance as previously reported</t>
  </si>
  <si>
    <t>Correction of error</t>
  </si>
  <si>
    <t>Corrections of error for consumer debtors</t>
  </si>
  <si>
    <t>Post retirement balance restated</t>
  </si>
  <si>
    <t>Post retirement  as previously reported</t>
  </si>
  <si>
    <t>Correction of long service leave and accumulated leave days.</t>
  </si>
  <si>
    <t>Implementation of GRAP standard - finance leases</t>
  </si>
  <si>
    <t>CORRECTION OF ERRORS AND GRAP IMPLEMENTATION</t>
  </si>
  <si>
    <t>The effect of the errors  and GRAP standard implementation on the financial position is as follows:</t>
  </si>
  <si>
    <t>MFMA Circular no 48 issued by National Treasury alerted Mogale City Local Municipality to the fact that the VAT incurred on grant funded projects is also chargeable against the grant. The National Treasury’s position is that municipalities must treat the ‘reclaimed VAT’ as ‘own revenue’. The practice has always been that Mogale City would recognize into income the amount incurred excluding VAT on projects as condition met on grant funds. The effect of this has always been that a balance would remain on the unspent grant balance which represents the input VAT not recognized into income. We have recalculated the unspent grant balances for all those grants which still had a balance at 30 June 2009 and have accordingly recognized into income the VAT content of the remaining balance for 2008/2009 and prior periods.</t>
  </si>
  <si>
    <t>Implementation of GRAP standard :lease liabilities</t>
  </si>
  <si>
    <t>Asset upload in 2007/2008 assets were duplicated and written back.</t>
  </si>
  <si>
    <t>Asset upload in 2007/2008 assets were duplicated and  depreciation written back.</t>
  </si>
  <si>
    <t>The VAT amount for the periods commencing June 2007 to March 2009 has been restated. The reason for this is that SARS indicated their intention to audit the Municipality prior to releasing the VAT refunds. We then performed an extensive reconciliation of our VAT figures for the above indicated periods for presentation to SARS. With SARS’s agreement we then adjusted and restated some of the VAT claims and VAT payments from month to month, however the end result was SARS owing Mogale City approximately R18m which is what we had as a debtor in our records.</t>
  </si>
  <si>
    <t>Correction of error - VAT debtor</t>
  </si>
  <si>
    <t>Value added taxation as previously reported</t>
  </si>
  <si>
    <r>
      <t>Accruals were raised in the 2007/2008 financial year and prior periods with respect to goods received and services rendered by some supplier</t>
    </r>
    <r>
      <rPr>
        <sz val="11"/>
        <rFont val="Calibri"/>
        <family val="2"/>
      </rPr>
      <t>s. Adjustments have been passed to restate some of the creditor balances and the effect of the adjustments are presented above.</t>
    </r>
  </si>
  <si>
    <t>Implementation of GRAP standard - operating leases</t>
  </si>
  <si>
    <t>Implementation of Grap standard on operating lease for rental of buildings.</t>
  </si>
  <si>
    <t>June 2009</t>
  </si>
  <si>
    <t>Implementation of the property rates act has introduced rebates on the property levies which has resulted in income foregone.</t>
  </si>
  <si>
    <t>VAT restatement  (Refer Note 29.1.6)</t>
  </si>
  <si>
    <t>Assets - GRAP Implementation (Refer 29.3.1)</t>
  </si>
  <si>
    <t>Finance lease</t>
  </si>
  <si>
    <t>Investment property</t>
  </si>
  <si>
    <t>Budget
 additions
 2009</t>
  </si>
  <si>
    <t>The Executive mayor, Deputy executive mayor, Speaker and Mayoral committee members are employed full-time.  Each is provided with  an office and secretarial support at the cost of the Council.</t>
  </si>
  <si>
    <t>Decrease in other debtors</t>
  </si>
  <si>
    <t>Implementation of GRAP standards and initial  recognition of post retirement medical obligation.</t>
  </si>
  <si>
    <t>Correction of VAT</t>
  </si>
  <si>
    <t>Lease Liability implementation figure</t>
  </si>
  <si>
    <t>Reduction in creditors(note 29.1.1)</t>
  </si>
  <si>
    <t>Grants correction ( Note 29.1.6)</t>
  </si>
  <si>
    <t>Sundry debtors and consumer deposits (Refer Note 29.3.2)</t>
  </si>
  <si>
    <t>Housing loans (Refer Note 29.3.2)</t>
  </si>
  <si>
    <t>Correction of income previously allocated to a wrong financial year</t>
  </si>
  <si>
    <t>Inventory (note 29.3.4)</t>
  </si>
  <si>
    <t>Sundry loans(29.3.2)</t>
  </si>
  <si>
    <t>DEDUCT INTANGIBLE ASSETS - DISCLOSED SEPERATE</t>
  </si>
  <si>
    <t>Correction of  disclosure intangible assets</t>
  </si>
  <si>
    <t xml:space="preserve">Less revenue foregone </t>
  </si>
  <si>
    <t>Sub total revenue</t>
  </si>
  <si>
    <t>Total revenue</t>
  </si>
  <si>
    <t>Total expenditure</t>
  </si>
  <si>
    <t>Transfers &amp; 
corrections</t>
  </si>
  <si>
    <t>Total gl</t>
  </si>
  <si>
    <t>GL</t>
  </si>
  <si>
    <t>Restatement of 2007-2008 balances (note 29.1)</t>
  </si>
  <si>
    <t>Infrastructure assets GRAP 17</t>
  </si>
  <si>
    <t xml:space="preserve">Investment properties has been valued at depreciated replacement cost as at 30 June 2009 which equates fair value. These properties will be depreciated in the following year. </t>
  </si>
  <si>
    <t xml:space="preserve">Current lease assets </t>
  </si>
  <si>
    <t>Conditions still to be met - transferred to liabilities (note 13)</t>
  </si>
  <si>
    <t>Transferred to debtors( note 14)</t>
  </si>
  <si>
    <t>Adjustments to conditions met in 2007-2008 financial year</t>
  </si>
  <si>
    <t xml:space="preserve"> Adjustments 2007-2008 conditions met</t>
  </si>
  <si>
    <t xml:space="preserve">Adjustments to 2007-2008 conditions met </t>
  </si>
  <si>
    <t>Assesments
 rates</t>
  </si>
  <si>
    <t>Creditors balance restated ( note4)</t>
  </si>
  <si>
    <t xml:space="preserve">Cash receipts from ratepayers and government </t>
  </si>
  <si>
    <t>NET DECREASE IN CASH AND CASH EQUIVALENTS</t>
  </si>
  <si>
    <t>The economic life of some of the assets with the value over R5,000.00 was reviewed and extended based on the conditions of the relevant assets.</t>
  </si>
  <si>
    <t>The plaintiff instituted a civil case against Mogale City Local Municipality in the Pretoria High Court. The plaintiff wants the Municipality to cancel the contract he signed with  Red Coral Investments. The Municipality  has made the land available in terms of the land availability program. In 2002/02/07 an agreement was entered into between Itumeleng Mokate the then municipal manager and Relaince Investment group (Pty) Ltd  who ceded the land to Red Coral Investments. 
The Municipality has a bona fide defense in that the second defendant claims that he paid the Municipality R290 000 and the contract was concluded in Johannesburg . Amount claimed R290 000.</t>
  </si>
  <si>
    <t>The Municipality has instructed messrs Smith van der Watt to defend the matter against Chamdor Meat Packers. The account statement issued to Chamdor Meat Packers was intercepted and fake letterheads were used to inform Chamdor Meat Packers that the Municipality has changed its bank account. The plaintiff deposited the money into the incorrect bank account held with FNB.   A criminal case of fraud has been opened . The matter is still pending in the High Court and pleadings have already been filed by the attorneys. Amount claimed R360 000.</t>
  </si>
  <si>
    <t xml:space="preserve">In terms of the Constitution, this grant is used to subsidise the provision of basic services to indigent community members.  All registered indigents receive a monthly  subsidy of R86 (assessment rates , refuse, sewer) , 50 kwh electricity and 6 kl of water which is funded from this grant.  </t>
  </si>
  <si>
    <t xml:space="preserve">                                          Date</t>
  </si>
  <si>
    <t>Auditor- General (Provincial)</t>
  </si>
  <si>
    <t>DIFFERENCE</t>
  </si>
  <si>
    <t>Transfers &amp; corrections</t>
  </si>
  <si>
    <t>Higher interest rates than expected</t>
  </si>
  <si>
    <t xml:space="preserve">CASH FLOW </t>
  </si>
  <si>
    <t>note 23</t>
  </si>
  <si>
    <t>Total unspent grants (note 6)</t>
  </si>
  <si>
    <t xml:space="preserve">Outstanding salary claims against Council </t>
  </si>
  <si>
    <t>-  22  -</t>
  </si>
  <si>
    <t>-  23  -</t>
  </si>
  <si>
    <t>-  25  -</t>
  </si>
  <si>
    <t>DEVIATIONS FROM PROCUREMENT PROCESSES</t>
  </si>
  <si>
    <t>Annexure 1: Deviations from Official Procurement Processes</t>
  </si>
  <si>
    <t>income statement</t>
  </si>
  <si>
    <t>Movement app A</t>
  </si>
  <si>
    <t>(Expenditure)+ creditors movement+depreciation+bad debt provision</t>
  </si>
  <si>
    <t xml:space="preserve"> Contribution to provision</t>
  </si>
  <si>
    <t>Gnl 8105 - Marietjie schedule identify call accounts</t>
  </si>
  <si>
    <t>Movement between two yrs Balance sheet</t>
  </si>
  <si>
    <t>Long term receivables movement balance sheet</t>
  </si>
  <si>
    <t>Call accounts</t>
  </si>
  <si>
    <t>Note changed :obsolete stock was moved from provisions to inventory</t>
  </si>
  <si>
    <t>Opening balance and contribution added/ obsolete stock to inventory</t>
  </si>
  <si>
    <t>note amended</t>
  </si>
  <si>
    <t>Balancing total</t>
  </si>
  <si>
    <t>Bontle Ke Botho is prize money received for the greater Krugersdorp Town &amp; various wards  for environmental awareness and will be spent in the following financial year.</t>
  </si>
  <si>
    <t>Gnl 8105 - 6.131,809 to unlisted fixed deposit</t>
  </si>
  <si>
    <t>Rates</t>
  </si>
  <si>
    <t xml:space="preserve"> GENERAL EXPENSES</t>
  </si>
  <si>
    <t>Purchases for consumption: electricity and water</t>
  </si>
  <si>
    <t>Insurance premiums</t>
  </si>
  <si>
    <t>Legal costs</t>
  </si>
  <si>
    <t>License fees: computer,vehicles,other</t>
  </si>
  <si>
    <t>Municipal charges: electricity,water,sanitation,refuse removal</t>
  </si>
  <si>
    <t>Oil and fuel</t>
  </si>
  <si>
    <t>Postage</t>
  </si>
  <si>
    <t>Rental: equipment</t>
  </si>
  <si>
    <t>Telephone,cellphone and faxes</t>
  </si>
  <si>
    <t>Water connections</t>
  </si>
  <si>
    <t>Other expenses</t>
  </si>
  <si>
    <t>2006/2007</t>
  </si>
  <si>
    <t>Training</t>
  </si>
  <si>
    <t>SURPLUS FOR THE YEAR</t>
  </si>
  <si>
    <t>Borrowings</t>
  </si>
  <si>
    <t>RECEIVABLES</t>
  </si>
  <si>
    <t>Receivables</t>
  </si>
  <si>
    <t>Inventories</t>
  </si>
  <si>
    <t>INVENTORIES</t>
  </si>
  <si>
    <t>Cash and cash equivalents</t>
  </si>
  <si>
    <t>Surplus for the year</t>
  </si>
  <si>
    <t xml:space="preserve"> CASH FLOWS FROM OPERATING ACTIVITIES</t>
  </si>
  <si>
    <t xml:space="preserve"> Balance at the beginning of the year</t>
  </si>
  <si>
    <t>Liquidity risk</t>
  </si>
  <si>
    <t>Cash flow forecasts are prepared and adequate utilised borrowing facilities are monitored.</t>
  </si>
  <si>
    <t>Interest rate risk</t>
  </si>
  <si>
    <t>Credit risk</t>
  </si>
  <si>
    <t>RISK MANAGEMENT</t>
  </si>
  <si>
    <t xml:space="preserve">Grants </t>
  </si>
  <si>
    <t>Bank charges</t>
  </si>
  <si>
    <t>bad debt</t>
  </si>
  <si>
    <t>Sundry deposits consist of hall-, kerb-, builders water- and key deposits.</t>
  </si>
  <si>
    <t>Sale of erven</t>
  </si>
  <si>
    <t>het gains on disposal delete en by other income bygetel</t>
  </si>
  <si>
    <t>Het gains on disposal na other income gemove</t>
  </si>
  <si>
    <t>het loss of disposals delete</t>
  </si>
  <si>
    <t>Staff  leave</t>
  </si>
  <si>
    <t>Income less conditional grants- other debtor movement</t>
  </si>
  <si>
    <t>I/E</t>
  </si>
  <si>
    <t>BAL SHEET</t>
  </si>
  <si>
    <t>INVESTMENTS @ CASH &amp; CASH EQUIV</t>
  </si>
  <si>
    <t>MOVEMENT BALANCE SHEET</t>
  </si>
  <si>
    <t>appendix B Only new assets - IGNORE UOLOADS</t>
  </si>
  <si>
    <t>I/E FIGURES FOR INCOME AND EXP</t>
  </si>
  <si>
    <t>Comparative figures added</t>
  </si>
  <si>
    <t>Municipal and other exempted</t>
  </si>
  <si>
    <t>Stand and housing loans</t>
  </si>
  <si>
    <t>Increase in conditional grants and receipts</t>
  </si>
  <si>
    <t>LEASES</t>
  </si>
  <si>
    <t>Leasing arrangements</t>
  </si>
  <si>
    <t>Office and other equipment</t>
  </si>
  <si>
    <t>Total operating lease expenses - as lessee</t>
  </si>
  <si>
    <t xml:space="preserve">The municipality has operating lease agreements for the following classes of assets: </t>
  </si>
  <si>
    <t>There is no contingent rental payable on any of the above lease agreements.</t>
  </si>
  <si>
    <t>Escalation is provided for in terms of the individual leasing arrangements and has been considered in the above future minimum lease payments.</t>
  </si>
  <si>
    <t>Receivables credit balances transferred to creditors ( note 9 )</t>
  </si>
  <si>
    <t>Service
 charges</t>
  </si>
  <si>
    <t>buildings</t>
  </si>
  <si>
    <t>Reconciliation of carrying value</t>
  </si>
  <si>
    <t>Carrying value of assets</t>
  </si>
  <si>
    <t>Inventory balance as previously reported</t>
  </si>
  <si>
    <t>Inventory balance restated</t>
  </si>
  <si>
    <t>glextract sub crs</t>
  </si>
  <si>
    <t>MCLM has housing guarantees with banks  on behalf of MCLM employees. These employees contribute to this provision on a monthly basis, to cover MCLM of possible losses.</t>
  </si>
  <si>
    <t>exp</t>
  </si>
  <si>
    <t>depreciation</t>
  </si>
  <si>
    <t>cred Note 26</t>
  </si>
  <si>
    <t>bad debt contr</t>
  </si>
  <si>
    <t>depr correction</t>
  </si>
  <si>
    <t>depr written back prev yr Thabo jnl R 26554</t>
  </si>
  <si>
    <t>-  27  -</t>
  </si>
  <si>
    <t>2007/2008</t>
  </si>
  <si>
    <t>Clr. S. Dube</t>
  </si>
  <si>
    <t>Property rates - penalties and collection charges</t>
  </si>
  <si>
    <t>Service charges</t>
  </si>
  <si>
    <t>Grants and subsidies paid</t>
  </si>
  <si>
    <t>Internal charges / charge outs</t>
  </si>
  <si>
    <t>Capital grants used to purchase property, plant and equipment</t>
  </si>
  <si>
    <t>Borrowings repaid</t>
  </si>
  <si>
    <t>BORROWINGS</t>
  </si>
  <si>
    <t>Less: short -term borrowings</t>
  </si>
  <si>
    <t xml:space="preserve"> Balance at the end of the year</t>
  </si>
  <si>
    <t>-</t>
  </si>
  <si>
    <t>SARS  - value added taxation</t>
  </si>
  <si>
    <t>LEAVE PAY ACCRUAL</t>
  </si>
  <si>
    <t>Utilised during the year</t>
  </si>
  <si>
    <t>Balance at the beginning of the year</t>
  </si>
  <si>
    <t>Balance at the end of the year</t>
  </si>
  <si>
    <t>Refer to Appendix A for more detail on borrowings.</t>
  </si>
  <si>
    <t>Conditional grants from other spheres of government</t>
  </si>
  <si>
    <t>Total net assets and liabilities</t>
  </si>
  <si>
    <t>Total assets</t>
  </si>
  <si>
    <t>Licenses and permits</t>
  </si>
  <si>
    <t>Annuity loans</t>
  </si>
  <si>
    <t>Electricity and water</t>
  </si>
  <si>
    <t>MIG grants</t>
  </si>
  <si>
    <t>Rates: ageing</t>
  </si>
  <si>
    <t>Other services : ageing</t>
  </si>
  <si>
    <t>Conditions still to be met - transferred to liabilities ( note 6)</t>
  </si>
  <si>
    <t>Indigent parked amounts</t>
  </si>
  <si>
    <t>Adjusted cash book balance at the end of the year</t>
  </si>
  <si>
    <t>National department of sport</t>
  </si>
  <si>
    <t>Office equipment</t>
  </si>
  <si>
    <t>Furniture &amp; fittings</t>
  </si>
  <si>
    <t>Plant &amp; equipment</t>
  </si>
  <si>
    <t>Land and buildings</t>
  </si>
  <si>
    <t>Sewerage mains &amp; purification</t>
  </si>
  <si>
    <t>Water mains &amp; purification</t>
  </si>
  <si>
    <t>Security measures</t>
  </si>
  <si>
    <t>Parks &amp; gardens</t>
  </si>
  <si>
    <t>Recreation grounds</t>
  </si>
  <si>
    <t>Civic buildings</t>
  </si>
  <si>
    <t>Heritage assets</t>
  </si>
  <si>
    <t>Housing schemes</t>
  </si>
  <si>
    <t>Other assets</t>
  </si>
  <si>
    <t>Executive &amp; council</t>
  </si>
  <si>
    <t>Finance &amp; admin</t>
  </si>
  <si>
    <t>Planning &amp; development</t>
  </si>
  <si>
    <t>Community &amp; social</t>
  </si>
  <si>
    <t>Public safety</t>
  </si>
  <si>
    <t>Sport &amp; recreation</t>
  </si>
  <si>
    <t>Environmental services</t>
  </si>
  <si>
    <t>Waste management</t>
  </si>
  <si>
    <t>Licenses &amp; permits</t>
  </si>
  <si>
    <t>Government grants &amp; subsidies</t>
  </si>
  <si>
    <t>Repairs &amp; maintenance</t>
  </si>
  <si>
    <t>Grants &amp; subsidies paid</t>
  </si>
  <si>
    <t>Changes in levels of government grants</t>
  </si>
  <si>
    <t>Based on allocation set out in the Division of Revenue Act (Act 1 of 2005), no significant changes in the level of government grant funding is anticipated over the forthcoming three financial years, except for the increase in the equitable share due to the abolishment of the RSC levies with effect from 1 July 2006.</t>
  </si>
  <si>
    <t xml:space="preserve">Other income </t>
  </si>
  <si>
    <t>Administration fee</t>
  </si>
  <si>
    <t>Contributions roads, storm water and parks</t>
  </si>
  <si>
    <t>Medical aid contributions (pensioners)</t>
  </si>
  <si>
    <t>Service connections</t>
  </si>
  <si>
    <t>Employee related costs - salaries and wages</t>
  </si>
  <si>
    <t>Employee related costs - contributions for UIF, pensions and medical aids</t>
  </si>
  <si>
    <t>Annual remuneration</t>
  </si>
  <si>
    <t>Performance bonuses</t>
  </si>
  <si>
    <t>Car allowance</t>
  </si>
  <si>
    <t>Contributions to UIF, medical and pension funds</t>
  </si>
  <si>
    <t>Remuneration of the Chief finance officer</t>
  </si>
  <si>
    <t>Remuneration of the Municipal manager</t>
  </si>
  <si>
    <t>Executive mayor</t>
  </si>
  <si>
    <t>Executive committee members</t>
  </si>
  <si>
    <t>Electricity connections (recoverable)</t>
  </si>
  <si>
    <t>Special projects</t>
  </si>
  <si>
    <t>Petty cash</t>
  </si>
  <si>
    <t>Current - unlisted fixed deposit</t>
  </si>
  <si>
    <t>Cash and cash equivalents not available for use by the municipality</t>
  </si>
  <si>
    <t>DBSA loan</t>
  </si>
  <si>
    <t>Current year payroll deductions and council contributions</t>
  </si>
  <si>
    <t>Related party relationships exist between the municipality and the following parties:</t>
  </si>
  <si>
    <t>Municipal gratuity fund</t>
  </si>
  <si>
    <t>Municipal employees pension fund</t>
  </si>
  <si>
    <t>Joint municipal pension fund</t>
  </si>
  <si>
    <t>Meshawu pension fund</t>
  </si>
  <si>
    <t>SAMWU pension fund</t>
  </si>
  <si>
    <t>Sala pension fund</t>
  </si>
  <si>
    <t>Housing  loans: guarantees</t>
  </si>
  <si>
    <t>VALUE ADDED TAXATION</t>
  </si>
  <si>
    <t>Value added taxation receivable</t>
  </si>
  <si>
    <t>Value added taxation payable</t>
  </si>
  <si>
    <t>Value added taxation is payable on the receipts basis.  Only once payment is received from debtors is value added taxation paid over to SARS.</t>
  </si>
  <si>
    <t>Non-current</t>
  </si>
  <si>
    <t>Receivables credit balances transferred to creditors ( note 4.1 )</t>
  </si>
  <si>
    <t>Saleable land held for sale</t>
  </si>
  <si>
    <t>Intangible assets</t>
  </si>
  <si>
    <t>Computer software</t>
  </si>
  <si>
    <t>Intangible assets restated</t>
  </si>
  <si>
    <t>INTANGIBLE ASSETS</t>
  </si>
  <si>
    <t xml:space="preserve">Accumulated amortisation </t>
  </si>
  <si>
    <t>UNAUTHORISED, IRREGULAR, FRUITLESS AND WASTEFUL EXPENDITURE</t>
  </si>
  <si>
    <t>Unlisted - fixed deposits</t>
  </si>
  <si>
    <t>Listed - Sanlam</t>
  </si>
  <si>
    <t>Appendix A: Schedule of External Borrowings</t>
  </si>
  <si>
    <t>Income for agency services</t>
  </si>
  <si>
    <t>Amortisation of intangible assets</t>
  </si>
  <si>
    <t>Accumulated (deficit)/surplus</t>
  </si>
  <si>
    <t>Intangible assets capitalised</t>
  </si>
  <si>
    <t>Consumable inventory</t>
  </si>
  <si>
    <t>Sub stores inventory</t>
  </si>
  <si>
    <t>Inventory in transit (note 4.1)</t>
  </si>
  <si>
    <t>The municipality’s risk to liquidity is as a result of the funds available to cover future commitments .The municipality manages liquidity risk through an ongoing review of future commitments and credit facilities.</t>
  </si>
  <si>
    <t>No restrictions have been imposed on the municipality in terms of the operating lease agreements.</t>
  </si>
  <si>
    <t>Remuneration of councilors</t>
  </si>
  <si>
    <t>Personnel interim advances debtors</t>
  </si>
  <si>
    <t>Councilors</t>
  </si>
  <si>
    <t>d) Municipal manager and Section 57 personnel (managers)</t>
  </si>
  <si>
    <t>Remuneration councilors</t>
  </si>
  <si>
    <t>Planned expenditure did not realize</t>
  </si>
  <si>
    <t>Dept of Sport,Recreation,Arts &amp; Culture</t>
  </si>
  <si>
    <t>Refer to Appendix B and Appendix C for more detail on property, plant and equipment, including those in the course of construction.</t>
  </si>
  <si>
    <t>CHANGE IN ACCOUNTING POLICY</t>
  </si>
  <si>
    <t>REMUNERATION OF COUNCILORS</t>
  </si>
  <si>
    <t>The Executive mayor has use of a Council owned vehicle for official duties. The Executive mayor has two full-time bodyguards. Councilors are employed full time or part time.</t>
  </si>
  <si>
    <t>Implementation of Property Rates Act</t>
  </si>
  <si>
    <t>Adjusted for:-</t>
  </si>
  <si>
    <t>Depreciation on property, plant and equipment</t>
  </si>
  <si>
    <t>Disposal of property, plant and equipment</t>
  </si>
  <si>
    <t>Increase in inventories</t>
  </si>
  <si>
    <t>Increase in consumer debtors</t>
  </si>
  <si>
    <t>(Decrease) / increase in value added taxation</t>
  </si>
  <si>
    <t>Decrease in leave pay accrual</t>
  </si>
  <si>
    <t>The Municipality has undrawn borrowing facilities of R15 million with First National Bank(FNB) ,which is available for use for future operating activities and other capital commitments.</t>
  </si>
  <si>
    <t>Cash and cash equivalents included in the cash flow statement comprise of the following:</t>
  </si>
  <si>
    <t xml:space="preserve">WRDM funds various activities in the Municipality e.g. HIV/AIDS, primary health care, programmes for the youth, elderly, disabled, etc. </t>
  </si>
  <si>
    <t xml:space="preserve">                                Mr. D. Mashitisho</t>
  </si>
  <si>
    <t xml:space="preserve">Accumulated surplus </t>
  </si>
  <si>
    <t>Leave pay accrual</t>
  </si>
  <si>
    <t>Value added taxation</t>
  </si>
  <si>
    <t>APPENDIX F</t>
  </si>
  <si>
    <t>DISCLOSURES OF GRANTS AND SUBSIDIES IN TERMS OF SECTION 123 OF MFMA, 56 OF 2003</t>
  </si>
  <si>
    <t>Name of Grants</t>
  </si>
  <si>
    <t>Name of organ of state or municipal entity</t>
  </si>
  <si>
    <t>An accrual for leave pay is recognised for leave due to employees at year end.  The accrual for leave is  calculated by multiplying the number of leave days due to each employee by a daily rate based on the total cost to company.  The accrual is expected to realise within the following financial year when the employees request the leave to be paid out or is used.</t>
  </si>
  <si>
    <t>West Rand District Municipality grants</t>
  </si>
  <si>
    <t>National</t>
  </si>
  <si>
    <t>Dept of Housing and Land</t>
  </si>
  <si>
    <t>Skills development levy</t>
  </si>
  <si>
    <t>Training SETA-Dept of Labour</t>
  </si>
  <si>
    <t>West Rand District Municipality</t>
  </si>
  <si>
    <t>Dept of Water Affairs</t>
  </si>
  <si>
    <t>Dept of Mineral and Energy</t>
  </si>
  <si>
    <t>Province</t>
  </si>
  <si>
    <t>Bontle ke Botho Award</t>
  </si>
  <si>
    <t>Gauteng department of agric, conservation and environment</t>
  </si>
  <si>
    <t>Cash book balance at the beginning of the year</t>
  </si>
  <si>
    <t>Cash book balance at the end of the year</t>
  </si>
  <si>
    <t>Total all bank accounts</t>
  </si>
  <si>
    <t>APPENDIX B</t>
  </si>
  <si>
    <t>ASTC</t>
  </si>
  <si>
    <t>Additions</t>
  </si>
  <si>
    <t>Disposals</t>
  </si>
  <si>
    <t>105/110/111</t>
  </si>
  <si>
    <t>Infrastructure</t>
  </si>
  <si>
    <t>Drains</t>
  </si>
  <si>
    <t>Roads</t>
  </si>
  <si>
    <t>15/16/17/18/19/20/22/23/24</t>
  </si>
  <si>
    <t>45/46/47/48/49</t>
  </si>
  <si>
    <t>Electricity mains</t>
  </si>
  <si>
    <t>1/2/3/4/7/8</t>
  </si>
  <si>
    <t>31/32/33</t>
  </si>
  <si>
    <t>Reservoirs water</t>
  </si>
  <si>
    <t>34</t>
  </si>
  <si>
    <t>Water meters</t>
  </si>
  <si>
    <t>30</t>
  </si>
  <si>
    <t>Pedestrian facilities</t>
  </si>
  <si>
    <t>Airports</t>
  </si>
  <si>
    <t>65/66/67</t>
  </si>
  <si>
    <t>Community assets</t>
  </si>
  <si>
    <t>81</t>
  </si>
  <si>
    <t>Libraries</t>
  </si>
  <si>
    <t>79</t>
  </si>
  <si>
    <t>83/84/78/90/91/92/93/94/95/96</t>
  </si>
  <si>
    <t>73/70/71/75/76/82/115/117/120</t>
  </si>
  <si>
    <t>Clinics</t>
  </si>
  <si>
    <t>Cemeteries</t>
  </si>
  <si>
    <t>72</t>
  </si>
  <si>
    <t>Other</t>
  </si>
  <si>
    <t>Historical buildings</t>
  </si>
  <si>
    <t>80</t>
  </si>
  <si>
    <t>Paintings &amp; Art Galleries</t>
  </si>
  <si>
    <t>100/101</t>
  </si>
  <si>
    <t>113/112</t>
  </si>
  <si>
    <t>Landfill sites</t>
  </si>
  <si>
    <t>119</t>
  </si>
  <si>
    <t>132/133</t>
  </si>
  <si>
    <t>140/141/142/143</t>
  </si>
  <si>
    <t>Bins  &amp; Containers</t>
  </si>
  <si>
    <t>150/151</t>
  </si>
  <si>
    <t>Emergency equipment</t>
  </si>
  <si>
    <t>Fire engines</t>
  </si>
  <si>
    <t>165</t>
  </si>
  <si>
    <t>Other transport</t>
  </si>
  <si>
    <t>175/178</t>
  </si>
  <si>
    <t>Computer equipment</t>
  </si>
  <si>
    <t>130/131</t>
  </si>
  <si>
    <t>180/181/182/183/184/185/186/187/188/189/190/191/192</t>
  </si>
  <si>
    <t>Small assets</t>
  </si>
  <si>
    <t>999</t>
  </si>
  <si>
    <t>APPENDIX C</t>
  </si>
  <si>
    <t>GFSC</t>
  </si>
  <si>
    <t>201/202/203/204/205/206</t>
  </si>
  <si>
    <t>Health</t>
  </si>
  <si>
    <t>401/402/403/404</t>
  </si>
  <si>
    <t>501/502/503/504/505/506/507/508/509</t>
  </si>
  <si>
    <t>Housing</t>
  </si>
  <si>
    <t>701/702/703/704/705</t>
  </si>
  <si>
    <t>901/902/903/904</t>
  </si>
  <si>
    <t>1001/1002/1003/1004/1011</t>
  </si>
  <si>
    <t>Road transport</t>
  </si>
  <si>
    <t>1101/1102/1103/1104/1105/1106</t>
  </si>
  <si>
    <t>Water</t>
  </si>
  <si>
    <t>1201/1202/1204</t>
  </si>
  <si>
    <t>Electricity</t>
  </si>
  <si>
    <t>1301/1302/1303</t>
  </si>
  <si>
    <t>1401/1402/1403/1405/1406/3000</t>
  </si>
  <si>
    <t>TOTAL</t>
  </si>
  <si>
    <t>Housing development fund</t>
  </si>
  <si>
    <t>Capital replacement reserve</t>
  </si>
  <si>
    <t>Government grant reserve</t>
  </si>
  <si>
    <t>Donations &amp; Public contributions reserve</t>
  </si>
  <si>
    <t>Revaluation reserve</t>
  </si>
  <si>
    <t>Total</t>
  </si>
  <si>
    <t>Surplus/(deficit) for the year</t>
  </si>
  <si>
    <t>APPENDIX E(2)</t>
  </si>
  <si>
    <t>Actual</t>
  </si>
  <si>
    <t>Budget</t>
  </si>
  <si>
    <t>Variance</t>
  </si>
  <si>
    <t>155/156/157/158</t>
  </si>
  <si>
    <t>MOGALE CITY LOCAL MUNICIPALITY</t>
  </si>
  <si>
    <t>R</t>
  </si>
  <si>
    <t>LONG-TERM LIABILITIES</t>
  </si>
  <si>
    <t>Local Registered Stock Loans</t>
  </si>
  <si>
    <t>Annuity Loans</t>
  </si>
  <si>
    <t>Sub-total</t>
  </si>
  <si>
    <t>Less : Current portion transferred to current liabilities</t>
  </si>
  <si>
    <t>Total External Loans</t>
  </si>
  <si>
    <t>Refer to Appendix A for more detail on long-term liabilities.</t>
  </si>
  <si>
    <t>NON-CURRENT PROVISIONS</t>
  </si>
  <si>
    <t>Collateral gaurantee insurance</t>
  </si>
  <si>
    <t>Rugby Football club</t>
  </si>
  <si>
    <t>Mayoral fund</t>
  </si>
  <si>
    <t>Total Non-Curent Liabilities</t>
  </si>
  <si>
    <t xml:space="preserve">The movement in the non-current liabilities is reconciled as follows: - </t>
  </si>
  <si>
    <t xml:space="preserve">Balance at beginning of year </t>
  </si>
  <si>
    <t>Contributions to provision</t>
  </si>
  <si>
    <t>Balance at end of year</t>
  </si>
  <si>
    <t>CONSUMER DEPOSITS</t>
  </si>
  <si>
    <t>Electricity and Water</t>
  </si>
  <si>
    <t>Total Consumer Deposits</t>
  </si>
  <si>
    <t>Guarantees held in lieu of Electricity and Water Deposits</t>
  </si>
  <si>
    <t>CREDITORS</t>
  </si>
  <si>
    <t>Trade creditors</t>
  </si>
  <si>
    <t>Payments received in advance</t>
  </si>
  <si>
    <t>Other creditors</t>
  </si>
  <si>
    <t>PROVISIONS</t>
  </si>
  <si>
    <t>Staff leave</t>
  </si>
  <si>
    <t>UNSPENT CONDITIONAL GRANTS AND RECEIPTS</t>
  </si>
  <si>
    <t>6.1 Conditional Grants from other spheres of Government</t>
  </si>
  <si>
    <t>MIG Grants</t>
  </si>
  <si>
    <t>Provincial Government grants</t>
  </si>
  <si>
    <t>Department of Housing</t>
  </si>
  <si>
    <t>WRDM</t>
  </si>
  <si>
    <t>Wesmet</t>
  </si>
  <si>
    <t>System Improvement Grant</t>
  </si>
  <si>
    <t>Finance Management Grant</t>
  </si>
  <si>
    <t>6.2 Other Conditional Receipts</t>
  </si>
  <si>
    <t>DBSA</t>
  </si>
  <si>
    <t>Public contributions</t>
  </si>
  <si>
    <t>Provincial health subsidies</t>
  </si>
  <si>
    <t>Seta training grants</t>
  </si>
  <si>
    <t>The Municipality renders health services on behalf of the Provincial Government and is refunded  the total expenditure incurred. This grant has been used exclusively to fund public health services.(included in the public health vote in Appendix D).</t>
  </si>
  <si>
    <t>18.4 Department of housing</t>
  </si>
  <si>
    <t>Less: Employee costs included in other expenses (internal charges / charge outs)</t>
  </si>
  <si>
    <t>Remuneration of individual executive managers</t>
  </si>
  <si>
    <t>In-kind benefits</t>
  </si>
  <si>
    <t>CGDC:Sewer contributions</t>
  </si>
  <si>
    <t>Stores and materials</t>
  </si>
  <si>
    <t>CASH GENERATED FROM OPERATIONS</t>
  </si>
  <si>
    <t>Skills levy contributions</t>
  </si>
  <si>
    <t xml:space="preserve">South African Revenue Services </t>
  </si>
  <si>
    <t>VAT input receivable and VAT output payable are shown in note 7.  All VAT returns have been submitted  timeously throughout the year.</t>
  </si>
  <si>
    <t>The following Councilors had arrear accounts outstanding for more than 90 days at year end: -</t>
  </si>
  <si>
    <t>Outstanding for</t>
  </si>
  <si>
    <t>Outstanding
 balance</t>
  </si>
  <si>
    <t>Refer to note 20 and 21 for employee benefits of related parties.</t>
  </si>
  <si>
    <t>SURPLUS</t>
  </si>
  <si>
    <t xml:space="preserve">Property rates </t>
  </si>
  <si>
    <t>Rental facilities</t>
  </si>
  <si>
    <t>Depreciation and amortisation</t>
  </si>
  <si>
    <t>General expenses-</t>
  </si>
  <si>
    <t>Explanation of significant variances</t>
  </si>
  <si>
    <t>Project in process roll over to the following year.</t>
  </si>
  <si>
    <t>Project not started.</t>
  </si>
  <si>
    <t>Budget includes all water related capex.</t>
  </si>
  <si>
    <t>The applicant entered into an agreement with the municipality for supply and delivery of building materials. The municipality cancelled the agreement on the grounds of non performance on behalf of the applicant .The applicant has instituted an action for damages suffered as result of cancellation.  The matter is still pending in the High Court. Amount claimed: R1 167 770.</t>
  </si>
  <si>
    <t>The complainant has written a letter of demand for the alleged unlawfully termination of electricity supply. The complainant alleges that he suffered damages as result of termination of electricity by the municipality. Amount claimed: R12 328.</t>
  </si>
  <si>
    <t>The comparison of the municipality’s actual financial performance with that budgeted is set out in appendix E(1) and E(2).</t>
  </si>
  <si>
    <t xml:space="preserve">At the reporting date the municipality had outstanding commitments under non cancellable </t>
  </si>
  <si>
    <t>operating leases which fall due as follows:</t>
  </si>
  <si>
    <t xml:space="preserve">EXTERNAL </t>
  </si>
  <si>
    <t>LONG-TERM BORROWINGS</t>
  </si>
  <si>
    <t>TOTAL EXTERNAL BORROWINGS</t>
  </si>
  <si>
    <t>Closing balance</t>
  </si>
  <si>
    <t>Electricity peak control equipment</t>
  </si>
  <si>
    <t>Old age homes</t>
  </si>
  <si>
    <t>Paintings &amp; art galleries</t>
  </si>
  <si>
    <t>Bins  &amp; containers</t>
  </si>
  <si>
    <t>Motor vehicles</t>
  </si>
  <si>
    <t>Carrying
 value</t>
  </si>
  <si>
    <t>Description</t>
  </si>
  <si>
    <t>income</t>
  </si>
  <si>
    <t>expenditure</t>
  </si>
  <si>
    <t>surplus</t>
  </si>
  <si>
    <t>Variance reasonable.</t>
  </si>
  <si>
    <t>Contracts not renewed for indigents.</t>
  </si>
  <si>
    <t xml:space="preserve">The accounting policies adopted are consistent with those of previous financial year except that the municipality has changed the measurement basis used for land and buildings from fair value in the previous financial year to cost in the current financial year.
The adoption of this change did not have any effect on the financial performance or position of the municipality. 
</t>
  </si>
  <si>
    <t>Increase in outstanding debtor balances- budget based on actual amounts received.</t>
  </si>
  <si>
    <t>Increase due to implementation of LABAT system (cameras).</t>
  </si>
  <si>
    <t>Income for business licenses did not realized.</t>
  </si>
  <si>
    <t>Income higher than anticipated.</t>
  </si>
  <si>
    <t>Change in accounting policy, GRAP - Conditional grants now recognized as income.</t>
  </si>
  <si>
    <t>Income did not realize.</t>
  </si>
  <si>
    <t>Non payment higher than expected.</t>
  </si>
  <si>
    <t>Planned expenditure did not realize due to cash flow constraints.</t>
  </si>
  <si>
    <t>Salary costs charged out to other departments.</t>
  </si>
  <si>
    <t>The effect of the errors to the financial position of the municipality is as follows:-</t>
  </si>
  <si>
    <t>The impact of the errors on the statement of financial performance of the above is as follows:</t>
  </si>
  <si>
    <t>All Councilors and employees belong  to retirement funds . Council's contribution is 22%, except the SALA pension fund where Council contributes 20.78%.</t>
  </si>
  <si>
    <t>Total Conditional Grants and Receipts</t>
  </si>
  <si>
    <t>See Note 17 for reconciliation of grants from other spheres of government.</t>
  </si>
  <si>
    <t>VAT</t>
  </si>
  <si>
    <t>VAT payable</t>
  </si>
  <si>
    <t>VAT is payable on the receipts basis.  Only once payment is received from debtors is VAT paid over to SARS.</t>
  </si>
  <si>
    <t>-  11  -</t>
  </si>
  <si>
    <t>INVESTMENTS</t>
  </si>
  <si>
    <t>Financial Instruments</t>
  </si>
  <si>
    <t>Fixed Deposits</t>
  </si>
  <si>
    <t>Pledged Investments</t>
  </si>
  <si>
    <t>Banking institutions</t>
  </si>
  <si>
    <t>LONG-TERM RECEIVABLES</t>
  </si>
  <si>
    <t>Stand loans</t>
  </si>
  <si>
    <t>Housing loans</t>
  </si>
  <si>
    <t>Staff loans</t>
  </si>
  <si>
    <t>Sundry loans</t>
  </si>
  <si>
    <t>Deferred charges</t>
  </si>
  <si>
    <t>Less : Current portion transferred to current receivables</t>
  </si>
  <si>
    <t>STAFF LOANS</t>
  </si>
  <si>
    <t>Staff members are entitled to financial assistance in order to study at certain educational institutions. These loans are repayable with interest if the the employee failS and are written off in the cases where employees pass.</t>
  </si>
  <si>
    <t>STAND &amp; HOUSING LOANS</t>
  </si>
  <si>
    <t>Stand &amp; Housing loans are available to buyers of property within Mogale City. These loans are granted and repayable with interest in terms of Council`s policy.</t>
  </si>
  <si>
    <t>INVENTORY</t>
  </si>
  <si>
    <t>Consumable stores – at cost</t>
  </si>
  <si>
    <t>Total Inventory</t>
  </si>
  <si>
    <t>CONSUMER DEBTORS</t>
  </si>
  <si>
    <t>Gross Balances</t>
  </si>
  <si>
    <t>Provision for Bad Debts</t>
  </si>
  <si>
    <t>Net Balance</t>
  </si>
  <si>
    <t>As at 30 June 2005</t>
  </si>
  <si>
    <t>Service debtors</t>
  </si>
  <si>
    <t xml:space="preserve">  Rates</t>
  </si>
  <si>
    <t xml:space="preserve">  Water</t>
  </si>
  <si>
    <t xml:space="preserve">  Electricity</t>
  </si>
  <si>
    <t xml:space="preserve">  Refuse</t>
  </si>
  <si>
    <t xml:space="preserve">  Sewerage</t>
  </si>
  <si>
    <t xml:space="preserve">  Interest</t>
  </si>
  <si>
    <t xml:space="preserve">  Other</t>
  </si>
  <si>
    <t>Amounts received in advance</t>
  </si>
  <si>
    <t>-  13  -</t>
  </si>
  <si>
    <t>Rates: Ageing</t>
  </si>
  <si>
    <t>Current (0 – 30 days)</t>
  </si>
  <si>
    <t>31 - 60 Days</t>
  </si>
  <si>
    <t>61 - 90 Days</t>
  </si>
  <si>
    <t>`+ 90 Days</t>
  </si>
  <si>
    <t>(Electricity, Water and Sewerage): Ageing</t>
  </si>
  <si>
    <t>a) Mayor,</t>
  </si>
  <si>
    <t>b) Speaker,</t>
  </si>
  <si>
    <t>Municipal manager and S57 personnel</t>
  </si>
  <si>
    <t>Approved and contracted for</t>
  </si>
  <si>
    <t>Revenue</t>
  </si>
  <si>
    <t>Government grants</t>
  </si>
  <si>
    <t>District council grants</t>
  </si>
  <si>
    <t>National fund for municipal workers</t>
  </si>
  <si>
    <t>CONTINGENT LIABILITIES</t>
  </si>
  <si>
    <t>Operating leases - as lessee</t>
  </si>
  <si>
    <t>Consumer debtors comprise of widespread customer base. Management evaluates credit risk relating to customers on an  ongoing basis.</t>
  </si>
  <si>
    <t xml:space="preserve">During the current financial year, prior year errors were identified with regards to the following:- </t>
  </si>
  <si>
    <t>Correction of errors</t>
  </si>
  <si>
    <t xml:space="preserve">Correction of errors </t>
  </si>
  <si>
    <t>Sundry creditors</t>
  </si>
  <si>
    <t>Other corrections (prior year)</t>
  </si>
  <si>
    <t>Correction of error sundry creditors</t>
  </si>
  <si>
    <t>Creditors balance as previously reported</t>
  </si>
  <si>
    <t>Correction of error sundry debtors</t>
  </si>
  <si>
    <t>Other debtors balance as previously reported</t>
  </si>
  <si>
    <t>Other debtors balance restated</t>
  </si>
  <si>
    <t>Asset verification</t>
  </si>
  <si>
    <t>Property, plant and equipment  balance as previously reported</t>
  </si>
  <si>
    <t>Property, plant and equipment balance restated</t>
  </si>
  <si>
    <t>Other services : Ageing</t>
  </si>
  <si>
    <t>Reconciliation of the bad debt provision</t>
  </si>
  <si>
    <t>Balance at beginning of the year</t>
  </si>
  <si>
    <t>Bad debt written off</t>
  </si>
  <si>
    <t>OTHER DEBTORS</t>
  </si>
  <si>
    <t>Grant debtors</t>
  </si>
  <si>
    <t>Payments made in advance</t>
  </si>
  <si>
    <t>Insurance claims</t>
  </si>
  <si>
    <t>Government subsidies</t>
  </si>
  <si>
    <t>Sundry debtors</t>
  </si>
  <si>
    <t>SARS Vat Claim</t>
  </si>
  <si>
    <t xml:space="preserve">Total Other Debtors </t>
  </si>
  <si>
    <t>BANK, CASH AND OVERDRAFT BALANCES</t>
  </si>
  <si>
    <t xml:space="preserve">The Municipality has the following bank accounts: - </t>
  </si>
  <si>
    <t>First National Bank - Corporate Account Services Branch: Account Number 6204 524 3491 - Primary Account</t>
  </si>
  <si>
    <t>First National Bank - Corporate Account Services Branch: Account Number 6204 524 2469</t>
  </si>
  <si>
    <t>First National Bank - Corporate Account Services Branch: Account Number 6204 523 1074</t>
  </si>
  <si>
    <t>First National Bank - Corporate Account Services Branch: Account Number 6208 172 0114</t>
  </si>
  <si>
    <t>First National Bank - Corporate Account Services Branch: Account Number 6208 171 8523</t>
  </si>
  <si>
    <t>First National Bank - Corporate Account Services Branch: Account Number 6208 171 9274</t>
  </si>
  <si>
    <t>First National Bank - Corporate Account Services Branch: Account Number 6208 171 9696</t>
  </si>
  <si>
    <t>ABSA  - Sandton Business Centre: Account Number 310 000 027</t>
  </si>
  <si>
    <t>Cash book balance at beginning of year - (overdrawn)</t>
  </si>
  <si>
    <t>Cash book balance at end of year - (overdrawn)</t>
  </si>
  <si>
    <t xml:space="preserve">Bank statement balance at beginning of year </t>
  </si>
  <si>
    <t xml:space="preserve">Bank statement balance at end of year </t>
  </si>
  <si>
    <t>The financial system do not support the usage of  different Cash Books and therefore only one Bank Reconciliation and Cashbook is included</t>
  </si>
  <si>
    <t>-  14  -</t>
  </si>
  <si>
    <t>PROPERTY RATES</t>
  </si>
  <si>
    <t>Residential</t>
  </si>
  <si>
    <t>Agricultural</t>
  </si>
  <si>
    <t>Commercial</t>
  </si>
  <si>
    <t>State</t>
  </si>
  <si>
    <t>Total Assessment Rates</t>
  </si>
  <si>
    <t>Valuations</t>
  </si>
  <si>
    <t>July 2005</t>
  </si>
  <si>
    <t>July 2004</t>
  </si>
  <si>
    <t>R000's</t>
  </si>
  <si>
    <t>Municipal</t>
  </si>
  <si>
    <t>Total Property Valuations</t>
  </si>
  <si>
    <t>Valuations on land and buildings are performed every four years.  The last valuation came into effect on 1 July 2001.  Interim valuations are processed on a quarterly basis to take into account changes in individual property values due to alterations and and changes in use.</t>
  </si>
  <si>
    <t>SERVICE CHARGES</t>
  </si>
  <si>
    <t>Sale of electricity</t>
  </si>
  <si>
    <t>Refuse removal</t>
  </si>
  <si>
    <t>Sewerage and sanitation charges</t>
  </si>
  <si>
    <t>Sale of water</t>
  </si>
  <si>
    <t>Total Service Charges</t>
  </si>
  <si>
    <t xml:space="preserve">GOVERNMENT GRANTS AND SUBSIDIES </t>
  </si>
  <si>
    <t>Equitable share</t>
  </si>
  <si>
    <t>Department of housing</t>
  </si>
  <si>
    <t>Provincial government</t>
  </si>
  <si>
    <t>Finance management grant</t>
  </si>
  <si>
    <t>Health subsidy</t>
  </si>
  <si>
    <t>Bontle ke Botho</t>
  </si>
  <si>
    <t>Total Government Grant and Subsidies</t>
  </si>
  <si>
    <t xml:space="preserve">17.1 Equitable Share </t>
  </si>
  <si>
    <t>In terms of the Constitution, this grant is used to subsidise the provision of basic services to indigent community members.  All registered indigents receive a monthly subsidy of R112 (2005: R101), which is funded from this grant.</t>
  </si>
  <si>
    <t>17.2 Provincial Health Subsidies</t>
  </si>
  <si>
    <t>Balance unspent at beginning of year</t>
  </si>
  <si>
    <t>Current year receipts - included in public health vote</t>
  </si>
  <si>
    <t>Conditions met - transferred to revenue</t>
  </si>
  <si>
    <t>Conditions still to be met - transferred to liabilities (see note 6)</t>
  </si>
  <si>
    <t>The Municipality renders health services on behalf of the Provincial Government and is refunded approximately 50% of total expenditure incurred.  This grant has been used exclusively to fund clinic services. (included in the public health vote in Appendix D)</t>
  </si>
  <si>
    <t>17.3 MIG Grant</t>
  </si>
  <si>
    <t xml:space="preserve">Current year receipts </t>
  </si>
  <si>
    <t>This grant was used to construct roads and sewerage infrastructure as part of the upgrading of informal settlement areas (included in the roads and sewerage votes in Appendix B).  No funds have been withheld.</t>
  </si>
  <si>
    <t>17.4 Department of Housing</t>
  </si>
  <si>
    <t>This grant is administrated on behalf of the Department of Housing for the erection of houses</t>
  </si>
  <si>
    <t>-  15  -</t>
  </si>
  <si>
    <t>17.5 Finance Management Grant</t>
  </si>
  <si>
    <t>The Finance management grant is utilised in the internship programme for the payment of salaries and training of the finance interns</t>
  </si>
  <si>
    <t>17.6 Other Provincial Government Grants</t>
  </si>
  <si>
    <t>This grant is utilised for the construction of infrastructure and community facilities</t>
  </si>
  <si>
    <t>OTHER INCOME</t>
  </si>
  <si>
    <t>Other income</t>
  </si>
  <si>
    <t>Total Other Income</t>
  </si>
  <si>
    <t>EMPLOYEE RELATED COSTS</t>
  </si>
  <si>
    <t>Employee related costs - Salaries and Wages</t>
  </si>
  <si>
    <t>Employee related costs - Contributions for UIF, pensions and medical aids</t>
  </si>
  <si>
    <t>Travel, motor car, accommodation, subsistence and other allowances</t>
  </si>
  <si>
    <t>Housing benefits and allowances</t>
  </si>
  <si>
    <t>Overtime payments</t>
  </si>
  <si>
    <t>Performance bonus</t>
  </si>
  <si>
    <t>Long-service awards</t>
  </si>
  <si>
    <t>Less: Employee costs included in other expenses</t>
  </si>
  <si>
    <t>Total Employee Related Costs</t>
  </si>
  <si>
    <t xml:space="preserve">There were no advances to employees.  Loans to employees are set out in note 10. </t>
  </si>
  <si>
    <t>Remuneration of the Municipal Manager</t>
  </si>
  <si>
    <t>Annual Remuneration</t>
  </si>
  <si>
    <t>Performance Bonuses</t>
  </si>
  <si>
    <t>Car Allowance</t>
  </si>
  <si>
    <t>Contributions to UIF, Medical and Pension Funds</t>
  </si>
  <si>
    <t>Remuneration of the Chief Finance Officer</t>
  </si>
  <si>
    <t>Remuneration of Individual Executive Directors</t>
  </si>
  <si>
    <t xml:space="preserve">Technical </t>
  </si>
  <si>
    <t xml:space="preserve">Community </t>
  </si>
  <si>
    <t>Services</t>
  </si>
  <si>
    <t>Medical and pension funds</t>
  </si>
  <si>
    <t>-  16  -</t>
  </si>
  <si>
    <t>REMUNERATION OF COUNCILLORS</t>
  </si>
  <si>
    <t>Executive Mayor</t>
  </si>
  <si>
    <t>Speaker</t>
  </si>
  <si>
    <t>Executive Committee Members</t>
  </si>
  <si>
    <t>Councillors</t>
  </si>
  <si>
    <t>Councillors’ pension contribution</t>
  </si>
  <si>
    <t>Total Councillors’ Remuneration</t>
  </si>
  <si>
    <t>In-kind Benefits</t>
  </si>
  <si>
    <t>The Executive Mayor, Deputy Executive Mayor, Speaker and Executive Committee Members are full-time.  Each is provided with an office and secretarial support at the cost of the Council.</t>
  </si>
  <si>
    <t>The Executive Mayor is entitled to stay at the mayoral residence owned by Council at no cost.  The Executive Mayor has use of a Council owned vehicle for official duties.</t>
  </si>
  <si>
    <t>The Executive Mayor has two full-time bodyguards.</t>
  </si>
  <si>
    <t>INTEREST PAID</t>
  </si>
  <si>
    <t>Long-term liabilities</t>
  </si>
  <si>
    <t>Total Interest on External Borrowings</t>
  </si>
  <si>
    <t>BULK PURCHASES</t>
  </si>
  <si>
    <t xml:space="preserve">Electricity </t>
  </si>
  <si>
    <t>Total Bulk Purchases</t>
  </si>
  <si>
    <t>CASH GENERATED BY OPERATIONS</t>
  </si>
  <si>
    <t>Appropriations</t>
  </si>
  <si>
    <t>Adjustment for:-</t>
  </si>
  <si>
    <t>Gain on disposal of property, plant and equipment</t>
  </si>
  <si>
    <t>Capital receipts</t>
  </si>
  <si>
    <t>Interest paid</t>
  </si>
  <si>
    <t>Investment income</t>
  </si>
  <si>
    <t>Operating surplus before working capital changes:</t>
  </si>
  <si>
    <t>Decrease in inventories</t>
  </si>
  <si>
    <t>(Increase)/decrease in debtors</t>
  </si>
  <si>
    <t>(Increase)/decrease in other debtors</t>
  </si>
  <si>
    <t>(Decrease)/increase in conditional grants and receipts</t>
  </si>
  <si>
    <t>Increase in provisions</t>
  </si>
  <si>
    <t>Increase in creditors</t>
  </si>
  <si>
    <t>Increase in VAT</t>
  </si>
  <si>
    <t>Cash generated by/(utilised in) operations</t>
  </si>
  <si>
    <t>CASH AND CASH EQUIVALENTS</t>
  </si>
  <si>
    <t>Cash and cash equivalents included in the cash flow statement comprise the following statement of amounts indicating financial position :</t>
  </si>
  <si>
    <t xml:space="preserve">Bank balances and cash </t>
  </si>
  <si>
    <t>Bank overdrafts</t>
  </si>
  <si>
    <t>Total cash and cash equivalents</t>
  </si>
  <si>
    <t>ADDITIONAL DISCLOSURES IN TERMS OF MUNICIPAL FINANCE MANAGEMENT ACT</t>
  </si>
  <si>
    <t xml:space="preserve">25.1 Contributions to organized local government </t>
  </si>
  <si>
    <t>Opening balance</t>
  </si>
  <si>
    <t>Council subscriptions</t>
  </si>
  <si>
    <t>Amount paid - current year</t>
  </si>
  <si>
    <t>Amount paid - previous years</t>
  </si>
  <si>
    <t>Balance unpaid (included in creditors)</t>
  </si>
  <si>
    <t>-  17  -</t>
  </si>
  <si>
    <t>25.2 Audit fees</t>
  </si>
  <si>
    <t>Current year audit fee</t>
  </si>
  <si>
    <t>25.3 VAT</t>
  </si>
  <si>
    <t>VAT inputs receivables and VAT outputs receivables are shown in note 7.  All VAT returns have been submitted by the due date throughout the year.</t>
  </si>
  <si>
    <t>25.4 PAYE and UIF</t>
  </si>
  <si>
    <t>Current year payroll deductions</t>
  </si>
  <si>
    <t>25.5 Pension and Medical Aid Deductions</t>
  </si>
  <si>
    <t>Current year payroll deductions and Council Contributions</t>
  </si>
  <si>
    <t>25.6 Councillor’s arrear consumer accounts</t>
  </si>
  <si>
    <t xml:space="preserve">The following Councillors had arrear accounts outstanding for more </t>
  </si>
  <si>
    <t>than 90 days as at: -</t>
  </si>
  <si>
    <t>Outstanding</t>
  </si>
  <si>
    <t>less than 90</t>
  </si>
  <si>
    <t>more than 90</t>
  </si>
  <si>
    <t>days</t>
  </si>
  <si>
    <t>Days</t>
  </si>
  <si>
    <t>30th June 2005</t>
  </si>
  <si>
    <t>Mpanza BJ</t>
  </si>
  <si>
    <t>Segatlhe E</t>
  </si>
  <si>
    <t>Cindi EN</t>
  </si>
  <si>
    <t>Tsangela M</t>
  </si>
  <si>
    <t>Nel P</t>
  </si>
  <si>
    <t>Ntlatlane AM</t>
  </si>
  <si>
    <t>Total Councillor Arrear Consumer Accounts</t>
  </si>
  <si>
    <t>30th June 2004</t>
  </si>
  <si>
    <t>Gogotya NM</t>
  </si>
  <si>
    <t>Dladla VS</t>
  </si>
  <si>
    <t>Tau MO</t>
  </si>
  <si>
    <t>Ramarutsi P</t>
  </si>
  <si>
    <t>Oliphant SP</t>
  </si>
  <si>
    <t>Xolilizwe</t>
  </si>
  <si>
    <t>Thupane D</t>
  </si>
  <si>
    <t>Nkomo G</t>
  </si>
  <si>
    <t>Loonat Z</t>
  </si>
  <si>
    <t>Mojaki KI</t>
  </si>
  <si>
    <t>Modise SW</t>
  </si>
  <si>
    <t>Zagagana C</t>
  </si>
  <si>
    <t>Mbanjwa WM</t>
  </si>
  <si>
    <t>Montigoa S</t>
  </si>
  <si>
    <t>Maleke PK</t>
  </si>
  <si>
    <t>Mokonyane AM</t>
  </si>
  <si>
    <t>-  18  -</t>
  </si>
  <si>
    <t>CAPITAL COMMITMENTS</t>
  </si>
  <si>
    <t>Commitments in respect of capital expenditure:</t>
  </si>
  <si>
    <t xml:space="preserve">     - Approved and contracted for</t>
  </si>
  <si>
    <t>Community</t>
  </si>
  <si>
    <t>Heritage</t>
  </si>
  <si>
    <t xml:space="preserve">     - Approved but not yet contracted for</t>
  </si>
  <si>
    <t>This expenditure will be financed from:</t>
  </si>
  <si>
    <t xml:space="preserve">     - External Loans</t>
  </si>
  <si>
    <t xml:space="preserve">     - Government Grants</t>
  </si>
  <si>
    <t xml:space="preserve">     - Own resources</t>
  </si>
  <si>
    <t xml:space="preserve">     - District Council Grants</t>
  </si>
  <si>
    <t>CORRECTION OF ERROR</t>
  </si>
  <si>
    <t>Contributions included in operating</t>
  </si>
  <si>
    <t xml:space="preserve">       Leave provision</t>
  </si>
  <si>
    <t xml:space="preserve">       Non current provisions</t>
  </si>
  <si>
    <t>Funding Adjustments CDF</t>
  </si>
  <si>
    <t>Previous year income adjustment</t>
  </si>
  <si>
    <t>Previous year expenditure adjustment</t>
  </si>
  <si>
    <t>RETIREMENT BENEFIT INFORMATION</t>
  </si>
  <si>
    <t>All Councillors and employees belong to 3 defined benefit retirement funds administered by the Provincial Pension Fund.  These funds are subject to a triennial actuarial valuation.  The last valuation was performed in 2003.  These valuations indicate that the funds are in a sound financial position.  The estimated liability of the funds is R200,7 million which is adequately financed by assets of R255,4 million.</t>
  </si>
  <si>
    <t>An amount of R2,2 million (2004 : R2.1 million) was contributed by Council in respect of Councillor and employees retirement funding.  These contributions have been expensed.</t>
  </si>
  <si>
    <t>CONTINGENT LIABILITY</t>
  </si>
  <si>
    <t>Decrease in non-current receivables</t>
  </si>
  <si>
    <t>Stannic Loans: Guaranteed</t>
  </si>
  <si>
    <t>Housing  Loans: Guarantees</t>
  </si>
  <si>
    <t>COMPARISON WITH THE BUDGET</t>
  </si>
  <si>
    <t>The comparison of the Municipality’s actual financial performance with that budgeted is set out in Annexures E(1) and E(2).</t>
  </si>
  <si>
    <t>-  19  -</t>
  </si>
  <si>
    <t>CHANGE IN ACCOUNTING POLICY - IMPLEMENTATION OF GAMAP</t>
  </si>
  <si>
    <t xml:space="preserve">The following adjustments were made to amounts previously reported in the annual financial statements of the Municipality arising from the implementation of GAMAP: - </t>
  </si>
  <si>
    <t>31.1 Statutory Funds</t>
  </si>
  <si>
    <t xml:space="preserve">Balance previously reported: - </t>
  </si>
  <si>
    <t>Capital Development Fund</t>
  </si>
  <si>
    <t>Land Trust  Fund</t>
  </si>
  <si>
    <t>Housing Development Fund</t>
  </si>
  <si>
    <t>Implementation of GAMAP</t>
  </si>
  <si>
    <t>Transferred to the Capital Replacement Reserve</t>
  </si>
  <si>
    <t>Transfer to Bad debt provision</t>
  </si>
  <si>
    <t>Transfer to leave provision</t>
  </si>
  <si>
    <t>Transferred to Accumulated Surplus/(Deficit) (see 31.8 below)</t>
  </si>
  <si>
    <t>31.2 Provisions and Reserves</t>
  </si>
  <si>
    <t>Balance previously reported</t>
  </si>
  <si>
    <t>Capital Replacement Reserve</t>
  </si>
  <si>
    <t>SMME Provision</t>
  </si>
  <si>
    <t>Audit fees provision</t>
  </si>
  <si>
    <t xml:space="preserve"> </t>
  </si>
  <si>
    <t>Gratuity provision</t>
  </si>
  <si>
    <t>WCA provision</t>
  </si>
  <si>
    <t>Township development reserve</t>
  </si>
  <si>
    <t>Endowmwnt fund</t>
  </si>
  <si>
    <t>Community facilities fund</t>
  </si>
  <si>
    <t>Insurance provision</t>
  </si>
  <si>
    <t>Loss of Rental Provision</t>
  </si>
  <si>
    <t>31.3 Accumulated Surplus/(Deficit)</t>
  </si>
  <si>
    <t>Excessive provisions and reserves no longer permitted (see 31.3 above)</t>
  </si>
  <si>
    <t>Transferred from statutory funds   (see 31.1 above)</t>
  </si>
  <si>
    <t>The funds were written-off by Council because none of the funds were backed by cash and as a first step in the GAMAP implementation</t>
  </si>
  <si>
    <t>Note</t>
  </si>
  <si>
    <t>GLAG</t>
  </si>
  <si>
    <t>NET ASSETS AND LIABILITIES</t>
  </si>
  <si>
    <t>Net assets</t>
  </si>
  <si>
    <t xml:space="preserve">Operating account + Changes acc group </t>
  </si>
  <si>
    <t>Non-current liabilities</t>
  </si>
  <si>
    <t>Current liabilities</t>
  </si>
  <si>
    <t>Consumer deposits</t>
  </si>
  <si>
    <t>Provisions</t>
  </si>
  <si>
    <t>Creditors</t>
  </si>
  <si>
    <t>Short-term loans</t>
  </si>
  <si>
    <t>Bank Overdraft</t>
  </si>
  <si>
    <t>Negative banks</t>
  </si>
  <si>
    <t>Calculation</t>
  </si>
  <si>
    <t>ASSETS</t>
  </si>
  <si>
    <t>Non-current assets</t>
  </si>
  <si>
    <t>Property, plant and equipment</t>
  </si>
  <si>
    <t>Investments</t>
  </si>
  <si>
    <t>Current assets</t>
  </si>
  <si>
    <t>Consumer debtors</t>
  </si>
  <si>
    <t>Other debtors</t>
  </si>
  <si>
    <t>Current portion of long-term debtors</t>
  </si>
  <si>
    <t>Calculate</t>
  </si>
  <si>
    <t>APPENDIX A</t>
  </si>
  <si>
    <t>Loan</t>
  </si>
  <si>
    <t>Redeemable</t>
  </si>
  <si>
    <t>Balance at</t>
  </si>
  <si>
    <t>Received</t>
  </si>
  <si>
    <t>Redeemed</t>
  </si>
  <si>
    <t>Number</t>
  </si>
  <si>
    <t>during the</t>
  </si>
  <si>
    <t>written off</t>
  </si>
  <si>
    <t>year</t>
  </si>
  <si>
    <t>ANNUITY LOANS</t>
  </si>
  <si>
    <t>L99975/1</t>
  </si>
  <si>
    <t>L10935/102</t>
  </si>
  <si>
    <t>L10935/1202</t>
  </si>
  <si>
    <t>L10935/1203</t>
  </si>
  <si>
    <t>L10935/1302</t>
  </si>
  <si>
    <t>L10935/1401</t>
  </si>
  <si>
    <t>L10935/1501</t>
  </si>
  <si>
    <t>L10935/2001</t>
  </si>
  <si>
    <t>L10935/203</t>
  </si>
  <si>
    <t>L10935/2102</t>
  </si>
  <si>
    <t>L10935/2302</t>
  </si>
  <si>
    <t>L10935/2501</t>
  </si>
  <si>
    <t>L10935/2601</t>
  </si>
  <si>
    <t>L10935/2701</t>
  </si>
  <si>
    <t>L10935/502</t>
  </si>
  <si>
    <t>L10935/602</t>
  </si>
  <si>
    <t>L10935/802</t>
  </si>
  <si>
    <t>L10935/901</t>
  </si>
  <si>
    <t>L12164/01</t>
  </si>
  <si>
    <t>L12238/101</t>
  </si>
  <si>
    <t>L12607/101</t>
  </si>
  <si>
    <t>ABSA</t>
  </si>
  <si>
    <t>INCA</t>
  </si>
  <si>
    <t>LMOGA0001</t>
  </si>
  <si>
    <t>GFSI</t>
  </si>
  <si>
    <t>REVENUE</t>
  </si>
  <si>
    <t>Interest earned - external investments</t>
  </si>
  <si>
    <t>Interest earned - outstanding debtors</t>
  </si>
  <si>
    <t>Fines</t>
  </si>
  <si>
    <t>Government grants and subsidies</t>
  </si>
  <si>
    <t>Less Revenue foregone</t>
  </si>
  <si>
    <t>EXPENDITURE</t>
  </si>
  <si>
    <t>3000/3100/3200/3300</t>
  </si>
  <si>
    <t>Depreciation</t>
  </si>
  <si>
    <t>3700/4000</t>
  </si>
  <si>
    <t>Contracted services</t>
  </si>
  <si>
    <t>General expenses</t>
  </si>
  <si>
    <t>4400/6300/6400</t>
  </si>
  <si>
    <t>5000/2500/2200/4700</t>
  </si>
  <si>
    <t>APPENDIX D</t>
  </si>
  <si>
    <t>SEGMENTAL STATEMENT OF FINANCIAL PERFORMANCE FOR THE YEAR ENDED</t>
  </si>
  <si>
    <t>APPENDIX E(1)</t>
  </si>
  <si>
    <t>%</t>
  </si>
  <si>
    <t>Property rates</t>
  </si>
  <si>
    <t>400/500/600</t>
  </si>
  <si>
    <t>Interest earned - external investment</t>
  </si>
  <si>
    <t>Agency services</t>
  </si>
  <si>
    <t>1700/200/1100</t>
  </si>
  <si>
    <t>Sub total</t>
  </si>
  <si>
    <t>Employee related costs</t>
  </si>
  <si>
    <t>MFMA do not have code for write-offs</t>
  </si>
  <si>
    <t>Collection costs</t>
  </si>
  <si>
    <t>Bulk purchases</t>
  </si>
  <si>
    <t>2500/5000/2200/4700</t>
  </si>
  <si>
    <t>Cash paid to suppliers and employees</t>
  </si>
  <si>
    <t>Cash generated from operations</t>
  </si>
  <si>
    <t>Interest received</t>
  </si>
  <si>
    <t>CASH FLOWS FROM INVESTING ACTIVITIES</t>
  </si>
  <si>
    <t xml:space="preserve">Purchase of property, plant and equipment </t>
  </si>
  <si>
    <t>Unallocated cash</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</si>
</sst>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quot;R&quot;\ #,##0"/>
    <numFmt numFmtId="174" formatCode="_(* #,##0_);_(* \(#,##0\);_(* &quot;-&quot;??_);_(@_)"/>
    <numFmt numFmtId="175" formatCode="#,##0.0"/>
    <numFmt numFmtId="176" formatCode="[$-F800]dddd\,\ mmmm\ dd\,\ yyyy"/>
    <numFmt numFmtId="177" formatCode="00000"/>
    <numFmt numFmtId="178" formatCode="_(* #,##0.0_);_(* \(#,##0.0\);_(* &quot;-&quot;??_);_(@_)"/>
    <numFmt numFmtId="179" formatCode="[$-1C09]dd\ mmmm\ yyyy"/>
    <numFmt numFmtId="180" formatCode="[$-1C09]dd\ mmmm\ yyyy;@"/>
    <numFmt numFmtId="181" formatCode="[$-409]dddd\,\ mmmm\ dd\,\ yyyy"/>
    <numFmt numFmtId="182" formatCode="_ * #,##0_ ;_ * \-#,##0_ ;_ * &quot;-&quot;??_ ;_ @_ "/>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_(* #,##0.00_);_(* \(#,##0.00\);_(* &quot;-&quot;_);_(@_)"/>
    <numFmt numFmtId="189" formatCode="#,##0_ ;\-#,##0\ "/>
    <numFmt numFmtId="190" formatCode="_ * #,##0.0_ ;_ * \-#,##0.0_ ;_ * &quot;-&quot;??_ ;_ @_ "/>
  </numFmts>
  <fonts count="54">
    <font>
      <sz val="10"/>
      <name val="Arial"/>
      <family val="0"/>
    </font>
    <font>
      <sz val="11"/>
      <color indexed="8"/>
      <name val="Book Antiqua"/>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family val="2"/>
    </font>
    <font>
      <b/>
      <sz val="14"/>
      <name val="Arial"/>
      <family val="2"/>
    </font>
    <font>
      <b/>
      <sz val="8"/>
      <name val="Arial"/>
      <family val="2"/>
    </font>
    <font>
      <sz val="10"/>
      <name val="Times New Roman"/>
      <family val="1"/>
    </font>
    <font>
      <sz val="11"/>
      <name val="Arial"/>
      <family val="2"/>
    </font>
    <font>
      <b/>
      <i/>
      <sz val="8"/>
      <name val="Arial"/>
      <family val="2"/>
    </font>
    <font>
      <b/>
      <u val="single"/>
      <sz val="8"/>
      <name val="Arial"/>
      <family val="2"/>
    </font>
    <font>
      <b/>
      <i/>
      <u val="single"/>
      <sz val="8"/>
      <name val="Arial"/>
      <family val="2"/>
    </font>
    <font>
      <sz val="10"/>
      <name val="MS Sans Serif"/>
      <family val="2"/>
    </font>
    <font>
      <i/>
      <sz val="8"/>
      <name val="Arial"/>
      <family val="2"/>
    </font>
    <font>
      <b/>
      <u val="single"/>
      <sz val="10"/>
      <name val="Arial"/>
      <family val="2"/>
    </font>
    <font>
      <sz val="14"/>
      <name val="Arial"/>
      <family val="2"/>
    </font>
    <font>
      <sz val="12"/>
      <name val="Arial"/>
      <family val="2"/>
    </font>
    <font>
      <sz val="10"/>
      <color indexed="10"/>
      <name val="Arial"/>
      <family val="2"/>
    </font>
    <font>
      <b/>
      <sz val="10"/>
      <color indexed="10"/>
      <name val="Arial"/>
      <family val="2"/>
    </font>
    <font>
      <b/>
      <u val="single"/>
      <sz val="12"/>
      <name val="Arial"/>
      <family val="2"/>
    </font>
    <font>
      <sz val="8"/>
      <color indexed="10"/>
      <name val="Arial"/>
      <family val="2"/>
    </font>
    <font>
      <b/>
      <sz val="8"/>
      <color indexed="10"/>
      <name val="Arial"/>
      <family val="2"/>
    </font>
    <font>
      <b/>
      <sz val="11"/>
      <name val="Arial"/>
      <family val="2"/>
    </font>
    <font>
      <sz val="11"/>
      <color indexed="10"/>
      <name val="Arial"/>
      <family val="2"/>
    </font>
    <font>
      <b/>
      <i/>
      <sz val="11"/>
      <name val="Arial"/>
      <family val="2"/>
    </font>
    <font>
      <b/>
      <u val="single"/>
      <sz val="11"/>
      <name val="Arial"/>
      <family val="2"/>
    </font>
    <font>
      <b/>
      <sz val="11"/>
      <color indexed="10"/>
      <name val="Arial"/>
      <family val="2"/>
    </font>
    <font>
      <i/>
      <sz val="11"/>
      <name val="Arial"/>
      <family val="2"/>
    </font>
    <font>
      <sz val="11"/>
      <name val="Arial Narrow"/>
      <family val="2"/>
    </font>
    <font>
      <sz val="11"/>
      <name val="Calibri"/>
      <family val="2"/>
    </font>
    <font>
      <u val="single"/>
      <sz val="11"/>
      <name val="Arial"/>
      <family val="2"/>
    </font>
    <font>
      <u val="single"/>
      <sz val="7.5"/>
      <color indexed="25"/>
      <name val="Arial"/>
      <family val="2"/>
    </font>
    <font>
      <u val="single"/>
      <sz val="7.5"/>
      <color indexed="18"/>
      <name val="Arial"/>
      <family val="2"/>
    </font>
    <font>
      <u val="single"/>
      <sz val="11"/>
      <color indexed="18"/>
      <name val="Arial"/>
      <family val="2"/>
    </font>
    <font>
      <b/>
      <sz val="11"/>
      <color indexed="8"/>
      <name val="Arial"/>
      <family val="2"/>
    </font>
    <font>
      <sz val="11"/>
      <color indexed="8"/>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style="medium"/>
      <top/>
      <bottom/>
    </border>
    <border>
      <left style="medium"/>
      <right style="medium"/>
      <top style="medium"/>
      <bottom/>
    </border>
    <border>
      <left style="medium"/>
      <right style="medium"/>
      <top/>
      <bottom style="medium"/>
    </border>
    <border>
      <left/>
      <right/>
      <top/>
      <bottom style="double"/>
    </border>
    <border>
      <left/>
      <right/>
      <top style="medium"/>
      <bottom style="double"/>
    </border>
    <border>
      <left/>
      <right style="medium"/>
      <top/>
      <bottom style="medium"/>
    </border>
    <border>
      <left/>
      <right/>
      <top style="double"/>
      <bottom/>
    </border>
    <border>
      <left/>
      <right/>
      <top style="thin"/>
      <bottom style="double"/>
    </border>
    <border>
      <left/>
      <right/>
      <top style="medium"/>
      <bottom/>
    </border>
    <border>
      <left style="medium"/>
      <right/>
      <top style="medium"/>
      <bottom/>
    </border>
    <border>
      <left/>
      <right style="medium"/>
      <top style="medium"/>
      <bottom/>
    </border>
    <border>
      <left style="medium"/>
      <right/>
      <top/>
      <bottom/>
    </border>
    <border>
      <left style="medium"/>
      <right/>
      <top/>
      <bottom style="medium"/>
    </border>
    <border>
      <left style="thin"/>
      <right style="thin"/>
      <top/>
      <bottom/>
    </border>
    <border>
      <left style="thin"/>
      <right style="thin"/>
      <top/>
      <bottom style="thin"/>
    </border>
    <border>
      <left style="thin"/>
      <right style="thin"/>
      <top/>
      <bottom style="medium"/>
    </border>
    <border>
      <left style="medium"/>
      <right style="medium"/>
      <top/>
      <bottom/>
    </border>
    <border>
      <left style="thin"/>
      <right style="thin"/>
      <top style="thin"/>
      <bottom style="double"/>
    </border>
    <border>
      <left style="thin"/>
      <right style="thin"/>
      <top style="thin"/>
      <bottom/>
    </border>
    <border>
      <left/>
      <right style="thin"/>
      <top style="thin"/>
      <bottom style="double"/>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medium"/>
      <top/>
      <bottom/>
    </border>
    <border>
      <left style="thin"/>
      <right style="medium"/>
      <top style="thin"/>
      <bottom/>
    </border>
    <border>
      <left style="thin"/>
      <right/>
      <top/>
      <bottom/>
    </border>
    <border>
      <left style="thin"/>
      <right style="thin"/>
      <top style="medium"/>
      <bottom/>
    </border>
    <border>
      <left style="thin"/>
      <right/>
      <top style="medium"/>
      <bottom/>
    </border>
    <border>
      <left style="thin"/>
      <right/>
      <top/>
      <bottom style="medium"/>
    </border>
    <border>
      <left style="thin"/>
      <right style="medium"/>
      <top style="medium"/>
      <bottom/>
    </border>
    <border>
      <left style="thin"/>
      <right style="medium"/>
      <top/>
      <bottom style="thin"/>
    </border>
    <border>
      <left/>
      <right style="thin"/>
      <top/>
      <bottom/>
    </border>
    <border>
      <left>
        <color indexed="63"/>
      </left>
      <right style="thin"/>
      <top style="thin"/>
      <bottom style="thin"/>
    </border>
    <border>
      <left style="thin"/>
      <right>
        <color indexed="63"/>
      </right>
      <top style="thin"/>
      <bottom style="double"/>
    </border>
    <border>
      <left>
        <color indexed="63"/>
      </left>
      <right style="medium"/>
      <top style="thin"/>
      <bottom style="double"/>
    </border>
    <border>
      <left style="thin"/>
      <right style="medium"/>
      <top/>
      <bottom style="medium"/>
    </border>
    <border>
      <left style="medium"/>
      <right style="thin"/>
      <top style="thin"/>
      <bottom style="double"/>
    </border>
    <border>
      <left/>
      <right/>
      <top/>
      <bottom style="thin"/>
    </border>
    <border>
      <left/>
      <right/>
      <top style="thin"/>
      <bottom/>
    </border>
    <border>
      <left style="thin"/>
      <right/>
      <top style="thin"/>
      <bottom/>
    </border>
    <border>
      <left style="thin"/>
      <right style="thin"/>
      <top>
        <color indexed="63"/>
      </top>
      <bottom style="double"/>
    </border>
    <border>
      <left style="thin"/>
      <right style="medium"/>
      <top>
        <color indexed="63"/>
      </top>
      <bottom style="double"/>
    </border>
    <border>
      <left style="thin"/>
      <right style="medium"/>
      <top style="thin"/>
      <bottom style="double"/>
    </border>
    <border>
      <left style="medium"/>
      <right style="thin"/>
      <top style="medium"/>
      <bottom/>
    </border>
    <border>
      <left style="medium"/>
      <right style="thin"/>
      <top/>
      <bottom/>
    </border>
    <border>
      <left style="medium"/>
      <right style="thin"/>
      <top>
        <color indexed="63"/>
      </top>
      <bottom style="medium"/>
    </border>
    <border>
      <left style="thin"/>
      <right style="thin"/>
      <top style="double"/>
      <bottom style="double"/>
    </border>
    <border>
      <left style="thin"/>
      <right>
        <color indexed="63"/>
      </right>
      <top style="double"/>
      <bottom style="double"/>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medium"/>
      <bottom>
        <color indexed="63"/>
      </bottom>
    </border>
    <border>
      <left>
        <color indexed="63"/>
      </left>
      <right style="thin"/>
      <top>
        <color indexed="63"/>
      </top>
      <bottom style="medium"/>
    </border>
    <border>
      <left style="medium"/>
      <right style="thin"/>
      <top style="thin"/>
      <bottom/>
    </border>
    <border>
      <left style="thin"/>
      <right style="thin"/>
      <top style="thin"/>
      <bottom style="medium"/>
    </border>
    <border>
      <left style="thin"/>
      <right/>
      <top style="thin"/>
      <bottom style="medium"/>
    </border>
    <border>
      <left style="medium"/>
      <right style="medium"/>
      <top style="thin"/>
      <bottom style="double"/>
    </border>
    <border>
      <left style="medium"/>
      <right/>
      <top style="thin"/>
      <bottom style="double"/>
    </border>
    <border>
      <left/>
      <right style="thin"/>
      <top style="thin"/>
      <bottom style="medium"/>
    </border>
    <border>
      <left style="medium"/>
      <right style="thin"/>
      <top style="thin"/>
      <bottom style="medium"/>
    </border>
    <border>
      <left style="thin"/>
      <right style="medium"/>
      <top style="thin"/>
      <bottom style="mediu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thin"/>
      <right style="thin"/>
      <top style="medium"/>
      <bottom style="thin"/>
    </border>
    <border>
      <left/>
      <right/>
      <top style="thin"/>
      <bottom style="medium"/>
    </border>
    <border>
      <left style="thin"/>
      <right/>
      <top style="medium"/>
      <bottom style="thin"/>
    </border>
    <border>
      <left/>
      <right/>
      <top style="medium"/>
      <bottom style="thin"/>
    </border>
    <border>
      <left/>
      <right style="thin"/>
      <top style="medium"/>
      <bottom style="thin"/>
    </border>
    <border>
      <left style="medium"/>
      <right/>
      <top style="medium"/>
      <bottom style="thin"/>
    </border>
    <border>
      <left/>
      <right style="medium"/>
      <top style="medium"/>
      <bottom style="thin"/>
    </border>
    <border>
      <left style="thin"/>
      <right style="medium"/>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9"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24" fillId="0" borderId="0">
      <alignment/>
      <protection/>
    </xf>
    <xf numFmtId="0" fontId="29"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32">
    <xf numFmtId="0" fontId="0" fillId="0" borderId="0" xfId="0" applyAlignment="1">
      <alignment/>
    </xf>
    <xf numFmtId="3" fontId="0" fillId="0" borderId="0" xfId="0" applyNumberFormat="1" applyAlignment="1">
      <alignment/>
    </xf>
    <xf numFmtId="0" fontId="0" fillId="0" borderId="0" xfId="0" applyBorder="1" applyAlignment="1">
      <alignment/>
    </xf>
    <xf numFmtId="3" fontId="0" fillId="0" borderId="0" xfId="0" applyNumberFormat="1" applyBorder="1" applyAlignment="1">
      <alignment/>
    </xf>
    <xf numFmtId="0" fontId="2" fillId="0" borderId="0" xfId="0" applyFont="1" applyFill="1" applyBorder="1" applyAlignment="1">
      <alignment/>
    </xf>
    <xf numFmtId="173" fontId="0" fillId="0" borderId="0" xfId="0" applyNumberFormat="1" applyAlignment="1">
      <alignment/>
    </xf>
    <xf numFmtId="4" fontId="0" fillId="0" borderId="0" xfId="0" applyNumberFormat="1" applyAlignment="1">
      <alignment/>
    </xf>
    <xf numFmtId="0" fontId="23" fillId="0" borderId="0" xfId="0" applyFont="1" applyAlignment="1">
      <alignment horizontal="center"/>
    </xf>
    <xf numFmtId="0" fontId="20" fillId="0" borderId="0" xfId="0" applyFont="1" applyAlignment="1">
      <alignment/>
    </xf>
    <xf numFmtId="0" fontId="20" fillId="0" borderId="10" xfId="0" applyFont="1" applyBorder="1" applyAlignment="1">
      <alignment/>
    </xf>
    <xf numFmtId="0" fontId="23" fillId="0" borderId="0" xfId="0" applyFont="1" applyAlignment="1">
      <alignment/>
    </xf>
    <xf numFmtId="0" fontId="20" fillId="0" borderId="0" xfId="0" applyFont="1" applyAlignment="1">
      <alignment/>
    </xf>
    <xf numFmtId="0" fontId="23" fillId="0" borderId="0" xfId="0" applyFont="1" applyAlignment="1">
      <alignment horizontal="right"/>
    </xf>
    <xf numFmtId="0" fontId="20" fillId="0" borderId="0" xfId="0" applyFont="1" applyFill="1" applyAlignment="1">
      <alignment/>
    </xf>
    <xf numFmtId="0" fontId="24" fillId="0" borderId="0" xfId="0" applyFont="1" applyAlignment="1">
      <alignment wrapText="1"/>
    </xf>
    <xf numFmtId="0" fontId="25" fillId="0" borderId="0" xfId="0" applyFont="1" applyAlignment="1">
      <alignment/>
    </xf>
    <xf numFmtId="0" fontId="23" fillId="0" borderId="0" xfId="0" applyFont="1" applyAlignment="1">
      <alignment wrapText="1"/>
    </xf>
    <xf numFmtId="0" fontId="20" fillId="0" borderId="0" xfId="0" applyFont="1" applyAlignment="1">
      <alignment wrapText="1"/>
    </xf>
    <xf numFmtId="0" fontId="20" fillId="0" borderId="0" xfId="0" applyFont="1" applyAlignment="1">
      <alignment horizontal="left"/>
    </xf>
    <xf numFmtId="0" fontId="20" fillId="0" borderId="10" xfId="0" applyFont="1" applyBorder="1" applyAlignment="1">
      <alignment horizontal="left"/>
    </xf>
    <xf numFmtId="0" fontId="23" fillId="0" borderId="10" xfId="0" applyFont="1" applyBorder="1" applyAlignment="1">
      <alignment horizontal="center"/>
    </xf>
    <xf numFmtId="0" fontId="23" fillId="0" borderId="0" xfId="0" applyFont="1" applyAlignment="1">
      <alignment horizontal="left" indent="1"/>
    </xf>
    <xf numFmtId="0" fontId="20" fillId="0" borderId="0" xfId="0" applyFont="1" applyAlignment="1">
      <alignment horizontal="left" indent="1"/>
    </xf>
    <xf numFmtId="3" fontId="20" fillId="0" borderId="0" xfId="0" applyNumberFormat="1" applyFont="1" applyAlignment="1">
      <alignment horizontal="right"/>
    </xf>
    <xf numFmtId="0" fontId="20" fillId="0" borderId="10" xfId="0" applyFont="1" applyBorder="1" applyAlignment="1">
      <alignment horizontal="right"/>
    </xf>
    <xf numFmtId="0" fontId="20" fillId="0" borderId="0" xfId="0" applyFont="1" applyAlignment="1">
      <alignment horizontal="right"/>
    </xf>
    <xf numFmtId="3" fontId="20" fillId="0" borderId="10" xfId="0" applyNumberFormat="1" applyFont="1" applyBorder="1" applyAlignment="1">
      <alignment horizontal="right"/>
    </xf>
    <xf numFmtId="3" fontId="20" fillId="0" borderId="0" xfId="0" applyNumberFormat="1" applyFont="1" applyAlignment="1">
      <alignment/>
    </xf>
    <xf numFmtId="0" fontId="20" fillId="0" borderId="11" xfId="0" applyFont="1" applyBorder="1" applyAlignment="1">
      <alignment/>
    </xf>
    <xf numFmtId="3" fontId="20" fillId="0" borderId="12" xfId="0" applyNumberFormat="1" applyFont="1" applyBorder="1" applyAlignment="1">
      <alignment horizontal="right"/>
    </xf>
    <xf numFmtId="3" fontId="20" fillId="0" borderId="11" xfId="0" applyNumberFormat="1" applyFont="1" applyBorder="1" applyAlignment="1">
      <alignment/>
    </xf>
    <xf numFmtId="3" fontId="20" fillId="0" borderId="13" xfId="0" applyNumberFormat="1" applyFont="1" applyBorder="1" applyAlignment="1">
      <alignment horizontal="right"/>
    </xf>
    <xf numFmtId="3" fontId="23" fillId="0" borderId="14" xfId="0" applyNumberFormat="1" applyFont="1" applyBorder="1" applyAlignment="1">
      <alignment horizontal="right"/>
    </xf>
    <xf numFmtId="0" fontId="23" fillId="0" borderId="0" xfId="0" applyFont="1" applyAlignment="1">
      <alignment horizontal="left"/>
    </xf>
    <xf numFmtId="173" fontId="20" fillId="0" borderId="0" xfId="0" applyNumberFormat="1" applyFont="1" applyAlignment="1">
      <alignment horizontal="right"/>
    </xf>
    <xf numFmtId="173" fontId="20" fillId="0" borderId="0" xfId="0" applyNumberFormat="1" applyFont="1" applyAlignment="1">
      <alignment/>
    </xf>
    <xf numFmtId="173" fontId="23" fillId="0" borderId="15" xfId="0" applyNumberFormat="1" applyFont="1" applyBorder="1" applyAlignment="1">
      <alignment horizontal="right"/>
    </xf>
    <xf numFmtId="173" fontId="23" fillId="0" borderId="0" xfId="0" applyNumberFormat="1" applyFont="1" applyAlignment="1">
      <alignment/>
    </xf>
    <xf numFmtId="0" fontId="20" fillId="0" borderId="0" xfId="0" applyFont="1" applyAlignment="1">
      <alignment horizontal="left" wrapText="1"/>
    </xf>
    <xf numFmtId="0" fontId="20" fillId="0" borderId="0" xfId="0" applyFont="1" applyAlignment="1">
      <alignment horizontal="left" wrapText="1" indent="1"/>
    </xf>
    <xf numFmtId="0" fontId="23" fillId="0" borderId="0" xfId="0" applyFont="1" applyAlignment="1">
      <alignment horizontal="left" wrapText="1" indent="1"/>
    </xf>
    <xf numFmtId="3" fontId="23" fillId="0" borderId="0" xfId="0" applyNumberFormat="1" applyFont="1" applyAlignment="1">
      <alignment/>
    </xf>
    <xf numFmtId="0" fontId="23" fillId="0" borderId="0" xfId="0" applyFont="1" applyAlignment="1">
      <alignment horizontal="left" wrapText="1"/>
    </xf>
    <xf numFmtId="3" fontId="20" fillId="0" borderId="10" xfId="0" applyNumberFormat="1" applyFont="1" applyBorder="1" applyAlignment="1">
      <alignment/>
    </xf>
    <xf numFmtId="173" fontId="23" fillId="0" borderId="14" xfId="0" applyNumberFormat="1" applyFont="1" applyBorder="1" applyAlignment="1">
      <alignment horizontal="right"/>
    </xf>
    <xf numFmtId="0" fontId="0" fillId="0" borderId="0" xfId="0" applyAlignment="1">
      <alignment horizontal="left"/>
    </xf>
    <xf numFmtId="3" fontId="23" fillId="0" borderId="0" xfId="0" applyNumberFormat="1" applyFont="1" applyBorder="1" applyAlignment="1">
      <alignment horizontal="right"/>
    </xf>
    <xf numFmtId="3" fontId="20" fillId="0" borderId="11" xfId="0" applyNumberFormat="1" applyFont="1" applyBorder="1" applyAlignment="1">
      <alignment horizontal="right"/>
    </xf>
    <xf numFmtId="0" fontId="20" fillId="0" borderId="0" xfId="0" applyFont="1" applyAlignment="1">
      <alignment horizontal="left"/>
    </xf>
    <xf numFmtId="3" fontId="20" fillId="0" borderId="16" xfId="0" applyNumberFormat="1" applyFont="1" applyBorder="1" applyAlignment="1">
      <alignment horizontal="right"/>
    </xf>
    <xf numFmtId="0" fontId="26" fillId="0" borderId="0" xfId="0" applyFont="1" applyAlignment="1">
      <alignment horizontal="left" wrapText="1"/>
    </xf>
    <xf numFmtId="3" fontId="23" fillId="0" borderId="0" xfId="0" applyNumberFormat="1" applyFont="1" applyAlignment="1">
      <alignment horizontal="right"/>
    </xf>
    <xf numFmtId="3" fontId="23" fillId="0" borderId="17" xfId="0" applyNumberFormat="1" applyFont="1" applyBorder="1" applyAlignment="1">
      <alignment/>
    </xf>
    <xf numFmtId="3" fontId="23" fillId="0" borderId="0" xfId="0" applyNumberFormat="1" applyFont="1" applyAlignment="1">
      <alignment/>
    </xf>
    <xf numFmtId="0" fontId="27" fillId="0" borderId="0" xfId="0" applyFont="1" applyAlignment="1">
      <alignment horizontal="left" wrapText="1"/>
    </xf>
    <xf numFmtId="3" fontId="20" fillId="0" borderId="0" xfId="0" applyNumberFormat="1" applyFont="1" applyAlignment="1">
      <alignment wrapText="1"/>
    </xf>
    <xf numFmtId="3" fontId="20" fillId="0" borderId="0" xfId="0" applyNumberFormat="1" applyFont="1" applyAlignment="1">
      <alignment horizontal="left" wrapText="1"/>
    </xf>
    <xf numFmtId="3" fontId="20" fillId="0" borderId="0" xfId="0" applyNumberFormat="1" applyFont="1" applyBorder="1" applyAlignment="1">
      <alignment horizontal="right"/>
    </xf>
    <xf numFmtId="3" fontId="20" fillId="0" borderId="0" xfId="0" applyNumberFormat="1" applyFont="1" applyBorder="1" applyAlignment="1">
      <alignment/>
    </xf>
    <xf numFmtId="0" fontId="23" fillId="0" borderId="0" xfId="0" applyFont="1" applyAlignment="1">
      <alignment horizontal="right" wrapText="1"/>
    </xf>
    <xf numFmtId="3" fontId="23" fillId="0" borderId="0" xfId="0" applyNumberFormat="1" applyFont="1" applyBorder="1" applyAlignment="1">
      <alignment/>
    </xf>
    <xf numFmtId="3" fontId="23" fillId="0" borderId="18" xfId="0" applyNumberFormat="1" applyFont="1" applyBorder="1" applyAlignment="1">
      <alignment horizontal="right"/>
    </xf>
    <xf numFmtId="3" fontId="23" fillId="0" borderId="18" xfId="0" applyNumberFormat="1" applyFont="1" applyBorder="1" applyAlignment="1">
      <alignment/>
    </xf>
    <xf numFmtId="3" fontId="23" fillId="0" borderId="18" xfId="0" applyNumberFormat="1" applyFont="1" applyBorder="1" applyAlignment="1">
      <alignment/>
    </xf>
    <xf numFmtId="3" fontId="20" fillId="0" borderId="0" xfId="0" applyNumberFormat="1" applyFont="1" applyAlignment="1">
      <alignment/>
    </xf>
    <xf numFmtId="3" fontId="20" fillId="0" borderId="0" xfId="0" applyNumberFormat="1" applyFont="1" applyAlignment="1">
      <alignment/>
    </xf>
    <xf numFmtId="0" fontId="20" fillId="0" borderId="0" xfId="0" applyFont="1" applyBorder="1" applyAlignment="1">
      <alignment/>
    </xf>
    <xf numFmtId="4" fontId="20" fillId="0" borderId="0" xfId="0" applyNumberFormat="1" applyFont="1" applyAlignment="1">
      <alignment/>
    </xf>
    <xf numFmtId="0" fontId="28" fillId="0" borderId="0" xfId="0" applyFont="1" applyAlignment="1">
      <alignment horizontal="left" wrapText="1"/>
    </xf>
    <xf numFmtId="4" fontId="20" fillId="0" borderId="0" xfId="0" applyNumberFormat="1" applyFont="1" applyAlignment="1">
      <alignment horizontal="right"/>
    </xf>
    <xf numFmtId="0" fontId="23" fillId="0" borderId="0" xfId="0" applyFont="1" applyAlignment="1">
      <alignment/>
    </xf>
    <xf numFmtId="0" fontId="23" fillId="0" borderId="0" xfId="0" applyFont="1" applyBorder="1" applyAlignment="1">
      <alignment/>
    </xf>
    <xf numFmtId="3" fontId="20" fillId="0" borderId="14" xfId="0" applyNumberFormat="1" applyFont="1" applyBorder="1" applyAlignment="1">
      <alignment horizontal="right"/>
    </xf>
    <xf numFmtId="0" fontId="23" fillId="0" borderId="0" xfId="0" applyFont="1" applyFill="1" applyAlignment="1">
      <alignment horizontal="left" wrapText="1"/>
    </xf>
    <xf numFmtId="4" fontId="23" fillId="0" borderId="10" xfId="0" applyNumberFormat="1" applyFont="1" applyBorder="1" applyAlignment="1">
      <alignment horizontal="right"/>
    </xf>
    <xf numFmtId="4" fontId="23" fillId="0" borderId="0" xfId="0" applyNumberFormat="1" applyFont="1" applyAlignment="1">
      <alignment/>
    </xf>
    <xf numFmtId="0" fontId="20" fillId="0" borderId="0" xfId="0" applyFont="1" applyFill="1" applyAlignment="1">
      <alignment/>
    </xf>
    <xf numFmtId="4" fontId="23" fillId="0" borderId="14" xfId="0" applyNumberFormat="1" applyFont="1" applyFill="1" applyBorder="1" applyAlignment="1">
      <alignment horizontal="right"/>
    </xf>
    <xf numFmtId="4" fontId="20" fillId="0" borderId="0" xfId="0" applyNumberFormat="1" applyFont="1" applyFill="1" applyAlignment="1">
      <alignment/>
    </xf>
    <xf numFmtId="4" fontId="23" fillId="0" borderId="15" xfId="0" applyNumberFormat="1" applyFont="1" applyBorder="1" applyAlignment="1">
      <alignment horizontal="right"/>
    </xf>
    <xf numFmtId="4" fontId="23" fillId="0" borderId="0" xfId="0" applyNumberFormat="1" applyFont="1" applyBorder="1" applyAlignment="1">
      <alignment horizontal="right"/>
    </xf>
    <xf numFmtId="0" fontId="24" fillId="0" borderId="0" xfId="0" applyFont="1" applyAlignment="1">
      <alignment horizontal="left" wrapText="1"/>
    </xf>
    <xf numFmtId="0" fontId="24" fillId="0" borderId="0" xfId="0" applyFont="1" applyBorder="1" applyAlignment="1">
      <alignment wrapText="1"/>
    </xf>
    <xf numFmtId="3" fontId="20" fillId="0" borderId="10" xfId="0" applyNumberFormat="1" applyFont="1" applyBorder="1" applyAlignment="1">
      <alignment/>
    </xf>
    <xf numFmtId="3" fontId="23" fillId="0" borderId="15" xfId="0" applyNumberFormat="1" applyFont="1" applyBorder="1" applyAlignment="1">
      <alignment/>
    </xf>
    <xf numFmtId="3" fontId="20" fillId="0" borderId="17" xfId="0" applyNumberFormat="1" applyFont="1" applyBorder="1" applyAlignment="1">
      <alignment/>
    </xf>
    <xf numFmtId="3" fontId="28" fillId="0" borderId="0" xfId="0" applyNumberFormat="1" applyFont="1" applyAlignment="1">
      <alignment/>
    </xf>
    <xf numFmtId="3" fontId="0" fillId="0" borderId="0" xfId="0" applyNumberFormat="1" applyFont="1" applyAlignment="1">
      <alignment/>
    </xf>
    <xf numFmtId="3" fontId="20" fillId="0" borderId="0" xfId="0" applyNumberFormat="1" applyFont="1" applyBorder="1" applyAlignment="1">
      <alignment/>
    </xf>
    <xf numFmtId="3" fontId="0" fillId="0" borderId="0" xfId="0" applyNumberFormat="1" applyFont="1" applyBorder="1" applyAlignment="1">
      <alignment/>
    </xf>
    <xf numFmtId="3" fontId="23" fillId="0" borderId="15" xfId="0" applyNumberFormat="1" applyFont="1" applyBorder="1" applyAlignment="1">
      <alignment/>
    </xf>
    <xf numFmtId="3" fontId="24" fillId="0" borderId="0" xfId="0" applyNumberFormat="1" applyFont="1" applyAlignment="1">
      <alignment wrapText="1"/>
    </xf>
    <xf numFmtId="0" fontId="20" fillId="0" borderId="0" xfId="59" applyFont="1">
      <alignment/>
      <protection/>
    </xf>
    <xf numFmtId="3" fontId="20" fillId="0" borderId="0" xfId="59" applyNumberFormat="1" applyFont="1">
      <alignment/>
      <protection/>
    </xf>
    <xf numFmtId="3" fontId="20" fillId="0" borderId="10" xfId="59" applyNumberFormat="1" applyFont="1" applyBorder="1">
      <alignment/>
      <protection/>
    </xf>
    <xf numFmtId="0" fontId="20" fillId="0" borderId="10" xfId="0" applyFont="1" applyBorder="1" applyAlignment="1">
      <alignment/>
    </xf>
    <xf numFmtId="0" fontId="20" fillId="0" borderId="14" xfId="0" applyFont="1" applyBorder="1" applyAlignment="1">
      <alignment horizontal="right"/>
    </xf>
    <xf numFmtId="3" fontId="20" fillId="0" borderId="15" xfId="0" applyNumberFormat="1" applyFont="1" applyBorder="1" applyAlignment="1">
      <alignment/>
    </xf>
    <xf numFmtId="0" fontId="23" fillId="0" borderId="15" xfId="0" applyFont="1" applyBorder="1" applyAlignment="1">
      <alignment/>
    </xf>
    <xf numFmtId="0" fontId="20" fillId="0" borderId="17" xfId="0" applyFont="1" applyBorder="1" applyAlignment="1">
      <alignment/>
    </xf>
    <xf numFmtId="0" fontId="27" fillId="0" borderId="0" xfId="0" applyFont="1" applyBorder="1" applyAlignment="1">
      <alignment/>
    </xf>
    <xf numFmtId="0" fontId="27" fillId="0" borderId="0" xfId="0" applyFont="1" applyAlignment="1">
      <alignment/>
    </xf>
    <xf numFmtId="3" fontId="27" fillId="0" borderId="0" xfId="0" applyNumberFormat="1" applyFont="1" applyAlignment="1">
      <alignment horizontal="right"/>
    </xf>
    <xf numFmtId="0" fontId="23" fillId="0" borderId="0" xfId="0" applyFont="1" applyBorder="1" applyAlignment="1">
      <alignment/>
    </xf>
    <xf numFmtId="15" fontId="23" fillId="0" borderId="0" xfId="0" applyNumberFormat="1" applyFont="1" applyAlignment="1">
      <alignment horizontal="left" wrapText="1"/>
    </xf>
    <xf numFmtId="0" fontId="20" fillId="0" borderId="0" xfId="0" applyFont="1" applyBorder="1" applyAlignment="1">
      <alignment/>
    </xf>
    <xf numFmtId="0" fontId="23" fillId="0" borderId="17" xfId="0" applyFont="1" applyBorder="1" applyAlignment="1">
      <alignment/>
    </xf>
    <xf numFmtId="3" fontId="23" fillId="0" borderId="19" xfId="0" applyNumberFormat="1" applyFont="1" applyBorder="1" applyAlignment="1">
      <alignment/>
    </xf>
    <xf numFmtId="0" fontId="23" fillId="0" borderId="19" xfId="0" applyFont="1" applyBorder="1" applyAlignment="1">
      <alignment/>
    </xf>
    <xf numFmtId="0" fontId="27" fillId="0" borderId="0" xfId="0" applyFont="1" applyAlignment="1">
      <alignment vertical="top"/>
    </xf>
    <xf numFmtId="0" fontId="23" fillId="0" borderId="0" xfId="0" applyFont="1" applyAlignment="1">
      <alignment horizontal="center" vertical="top"/>
    </xf>
    <xf numFmtId="0" fontId="27" fillId="0" borderId="0" xfId="0" applyFont="1" applyAlignment="1">
      <alignment horizontal="center" vertical="top"/>
    </xf>
    <xf numFmtId="3" fontId="23" fillId="0" borderId="14" xfId="0" applyNumberFormat="1" applyFont="1" applyBorder="1" applyAlignment="1">
      <alignment/>
    </xf>
    <xf numFmtId="3" fontId="20" fillId="0" borderId="20" xfId="0" applyNumberFormat="1" applyFont="1" applyBorder="1" applyAlignment="1">
      <alignment/>
    </xf>
    <xf numFmtId="3" fontId="20" fillId="0" borderId="19" xfId="0" applyNumberFormat="1" applyFont="1" applyBorder="1" applyAlignment="1">
      <alignment/>
    </xf>
    <xf numFmtId="3" fontId="20" fillId="0" borderId="21" xfId="0" applyNumberFormat="1" applyFont="1" applyBorder="1" applyAlignment="1">
      <alignment horizontal="right"/>
    </xf>
    <xf numFmtId="3" fontId="20" fillId="0" borderId="22" xfId="0" applyNumberFormat="1" applyFont="1" applyBorder="1" applyAlignment="1">
      <alignment/>
    </xf>
    <xf numFmtId="3" fontId="20" fillId="0" borderId="23" xfId="0" applyNumberFormat="1" applyFont="1" applyBorder="1" applyAlignment="1">
      <alignment/>
    </xf>
    <xf numFmtId="0" fontId="20" fillId="0" borderId="0" xfId="0" applyFont="1" applyBorder="1" applyAlignment="1">
      <alignment horizontal="right"/>
    </xf>
    <xf numFmtId="0" fontId="20" fillId="0" borderId="20" xfId="0" applyFont="1" applyBorder="1" applyAlignment="1">
      <alignment/>
    </xf>
    <xf numFmtId="0" fontId="20" fillId="0" borderId="19" xfId="0" applyFont="1" applyBorder="1" applyAlignment="1">
      <alignment/>
    </xf>
    <xf numFmtId="0" fontId="20" fillId="0" borderId="21" xfId="0" applyFont="1" applyBorder="1" applyAlignment="1">
      <alignment horizontal="right"/>
    </xf>
    <xf numFmtId="0" fontId="20" fillId="0" borderId="22" xfId="0" applyFont="1" applyBorder="1" applyAlignment="1">
      <alignment/>
    </xf>
    <xf numFmtId="0" fontId="20" fillId="0" borderId="11" xfId="0" applyFont="1" applyBorder="1" applyAlignment="1">
      <alignment horizontal="right"/>
    </xf>
    <xf numFmtId="0" fontId="20" fillId="0" borderId="23" xfId="0" applyFont="1" applyBorder="1" applyAlignment="1">
      <alignment/>
    </xf>
    <xf numFmtId="0" fontId="20" fillId="0" borderId="16" xfId="0" applyFont="1" applyBorder="1" applyAlignment="1">
      <alignment horizontal="right"/>
    </xf>
    <xf numFmtId="0" fontId="0" fillId="0" borderId="0" xfId="0" applyFont="1" applyAlignment="1">
      <alignment/>
    </xf>
    <xf numFmtId="0" fontId="0" fillId="0" borderId="0" xfId="0" applyFont="1" applyAlignment="1">
      <alignment wrapText="1"/>
    </xf>
    <xf numFmtId="0" fontId="26" fillId="0" borderId="0" xfId="0" applyFont="1" applyAlignment="1">
      <alignment/>
    </xf>
    <xf numFmtId="0" fontId="23" fillId="0" borderId="0" xfId="0" applyFont="1" applyAlignment="1">
      <alignment horizontal="left" indent="2"/>
    </xf>
    <xf numFmtId="0" fontId="20" fillId="0" borderId="0" xfId="0" applyFont="1" applyAlignment="1">
      <alignment horizontal="left" indent="4"/>
    </xf>
    <xf numFmtId="0" fontId="23" fillId="0" borderId="0" xfId="0" applyFont="1" applyAlignment="1">
      <alignment horizontal="left" indent="4"/>
    </xf>
    <xf numFmtId="0" fontId="2" fillId="0" borderId="22" xfId="0" applyFont="1" applyFill="1" applyBorder="1" applyAlignment="1">
      <alignment/>
    </xf>
    <xf numFmtId="3" fontId="20" fillId="0" borderId="0" xfId="0" applyNumberFormat="1" applyFont="1" applyBorder="1" applyAlignment="1">
      <alignment/>
    </xf>
    <xf numFmtId="0" fontId="32" fillId="0" borderId="0" xfId="0" applyFont="1" applyBorder="1" applyAlignment="1">
      <alignment horizontal="center" vertical="top" wrapText="1"/>
    </xf>
    <xf numFmtId="0" fontId="33" fillId="0" borderId="0" xfId="0" applyFont="1" applyAlignment="1">
      <alignment horizontal="justify"/>
    </xf>
    <xf numFmtId="0" fontId="33"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Alignment="1">
      <alignment/>
    </xf>
    <xf numFmtId="0" fontId="2" fillId="0" borderId="0" xfId="0" applyFont="1" applyFill="1" applyAlignment="1">
      <alignment vertical="center" wrapText="1"/>
    </xf>
    <xf numFmtId="0" fontId="0" fillId="0" borderId="0" xfId="0" applyFont="1" applyFill="1" applyBorder="1" applyAlignment="1">
      <alignment/>
    </xf>
    <xf numFmtId="15" fontId="32" fillId="0" borderId="0" xfId="0" applyNumberFormat="1" applyFont="1" applyBorder="1" applyAlignment="1" quotePrefix="1">
      <alignment horizontal="center" vertical="top" wrapText="1"/>
    </xf>
    <xf numFmtId="0" fontId="2" fillId="0" borderId="0" xfId="0" applyFont="1" applyFill="1" applyAlignment="1">
      <alignment/>
    </xf>
    <xf numFmtId="0" fontId="0" fillId="0" borderId="0" xfId="0" applyFont="1" applyFill="1" applyAlignment="1">
      <alignment/>
    </xf>
    <xf numFmtId="174" fontId="0" fillId="0" borderId="24" xfId="0" applyNumberFormat="1" applyFont="1" applyFill="1" applyBorder="1" applyAlignment="1">
      <alignment/>
    </xf>
    <xf numFmtId="174" fontId="0" fillId="0" borderId="25" xfId="0" applyNumberFormat="1" applyFont="1" applyFill="1" applyBorder="1" applyAlignment="1">
      <alignment/>
    </xf>
    <xf numFmtId="0" fontId="0" fillId="0" borderId="22" xfId="0" applyFont="1" applyFill="1" applyBorder="1" applyAlignment="1">
      <alignment/>
    </xf>
    <xf numFmtId="3" fontId="0" fillId="0" borderId="0" xfId="0" applyNumberFormat="1" applyFont="1" applyFill="1" applyAlignment="1">
      <alignment/>
    </xf>
    <xf numFmtId="0" fontId="0" fillId="0" borderId="24" xfId="0" applyFont="1" applyFill="1" applyBorder="1" applyAlignment="1">
      <alignment horizontal="center"/>
    </xf>
    <xf numFmtId="171" fontId="0" fillId="0" borderId="0" xfId="0" applyNumberFormat="1" applyFont="1" applyFill="1" applyAlignment="1">
      <alignment/>
    </xf>
    <xf numFmtId="174" fontId="0" fillId="0" borderId="0" xfId="0" applyNumberFormat="1" applyFont="1" applyFill="1" applyAlignment="1">
      <alignment/>
    </xf>
    <xf numFmtId="0" fontId="0" fillId="0" borderId="0" xfId="0" applyFont="1" applyAlignment="1">
      <alignment/>
    </xf>
    <xf numFmtId="169" fontId="0" fillId="0" borderId="0" xfId="0" applyNumberFormat="1" applyFont="1" applyFill="1" applyAlignment="1">
      <alignment/>
    </xf>
    <xf numFmtId="15" fontId="21" fillId="0" borderId="0" xfId="0" applyNumberFormat="1" applyFont="1" applyAlignment="1">
      <alignment horizontal="left"/>
    </xf>
    <xf numFmtId="0" fontId="2" fillId="0" borderId="0" xfId="0" applyFont="1" applyFill="1" applyAlignment="1">
      <alignment horizontal="center"/>
    </xf>
    <xf numFmtId="169" fontId="0" fillId="0" borderId="0" xfId="0" applyNumberFormat="1" applyFont="1" applyFill="1" applyBorder="1" applyAlignment="1">
      <alignment/>
    </xf>
    <xf numFmtId="169" fontId="0" fillId="0" borderId="24" xfId="0" applyNumberFormat="1" applyFont="1" applyFill="1" applyBorder="1" applyAlignment="1">
      <alignment/>
    </xf>
    <xf numFmtId="171" fontId="0" fillId="0" borderId="0" xfId="0" applyNumberFormat="1" applyFont="1" applyFill="1" applyBorder="1" applyAlignment="1">
      <alignment/>
    </xf>
    <xf numFmtId="1" fontId="0" fillId="0" borderId="0" xfId="58" applyNumberFormat="1" applyFont="1" applyFill="1" applyBorder="1" applyAlignment="1">
      <alignment horizontal="left"/>
      <protection/>
    </xf>
    <xf numFmtId="38" fontId="0" fillId="0" borderId="0" xfId="58" applyNumberFormat="1" applyFont="1" applyFill="1" applyBorder="1" applyAlignment="1">
      <alignment horizontal="left"/>
      <protection/>
    </xf>
    <xf numFmtId="38" fontId="31" fillId="0" borderId="0" xfId="58" applyNumberFormat="1" applyFont="1" applyFill="1" applyBorder="1" applyAlignment="1">
      <alignment horizontal="left"/>
      <protection/>
    </xf>
    <xf numFmtId="1" fontId="31" fillId="0" borderId="0" xfId="58" applyNumberFormat="1" applyFont="1" applyFill="1" applyBorder="1" applyAlignment="1">
      <alignment horizontal="left"/>
      <protection/>
    </xf>
    <xf numFmtId="174" fontId="0" fillId="0" borderId="24" xfId="0" applyNumberFormat="1" applyFont="1" applyFill="1" applyBorder="1" applyAlignment="1">
      <alignment/>
    </xf>
    <xf numFmtId="38" fontId="2" fillId="0" borderId="0" xfId="58" applyNumberFormat="1" applyFont="1" applyFill="1" applyBorder="1" applyAlignment="1">
      <alignment horizontal="left"/>
      <protection/>
    </xf>
    <xf numFmtId="1" fontId="2" fillId="0" borderId="0" xfId="58" applyNumberFormat="1" applyFont="1" applyFill="1" applyBorder="1" applyAlignment="1">
      <alignment horizontal="left"/>
      <protection/>
    </xf>
    <xf numFmtId="174" fontId="2" fillId="0" borderId="24" xfId="58" applyNumberFormat="1" applyFont="1" applyFill="1" applyBorder="1">
      <alignment/>
      <protection/>
    </xf>
    <xf numFmtId="38" fontId="2" fillId="0" borderId="26" xfId="58" applyNumberFormat="1" applyFont="1" applyFill="1" applyBorder="1">
      <alignment/>
      <protection/>
    </xf>
    <xf numFmtId="171" fontId="0" fillId="0" borderId="0" xfId="42" applyFont="1" applyFill="1" applyAlignment="1">
      <alignment/>
    </xf>
    <xf numFmtId="171" fontId="2" fillId="0" borderId="0" xfId="42" applyFont="1" applyFill="1" applyAlignment="1">
      <alignment/>
    </xf>
    <xf numFmtId="0" fontId="0" fillId="0" borderId="0" xfId="0" applyFont="1" applyFill="1" applyBorder="1" applyAlignment="1">
      <alignment/>
    </xf>
    <xf numFmtId="0" fontId="2" fillId="0" borderId="22" xfId="0" applyFont="1" applyFill="1" applyBorder="1" applyAlignment="1">
      <alignment/>
    </xf>
    <xf numFmtId="0" fontId="0" fillId="0" borderId="27" xfId="0" applyFont="1" applyFill="1" applyBorder="1" applyAlignment="1">
      <alignment/>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xf>
    <xf numFmtId="0" fontId="2" fillId="0" borderId="0" xfId="0" applyFont="1" applyFill="1" applyBorder="1" applyAlignment="1">
      <alignment horizontal="right"/>
    </xf>
    <xf numFmtId="169" fontId="2" fillId="0" borderId="28" xfId="0" applyNumberFormat="1" applyFont="1" applyFill="1" applyBorder="1" applyAlignment="1">
      <alignment/>
    </xf>
    <xf numFmtId="169" fontId="2" fillId="0" borderId="0" xfId="0" applyNumberFormat="1" applyFont="1" applyFill="1" applyBorder="1" applyAlignment="1">
      <alignment/>
    </xf>
    <xf numFmtId="169" fontId="2" fillId="0" borderId="18" xfId="0" applyNumberFormat="1" applyFont="1" applyFill="1" applyBorder="1" applyAlignment="1">
      <alignment/>
    </xf>
    <xf numFmtId="171" fontId="2" fillId="0" borderId="0" xfId="42" applyFont="1" applyFill="1" applyAlignment="1">
      <alignment vertical="center" wrapText="1"/>
    </xf>
    <xf numFmtId="171" fontId="2" fillId="0" borderId="0" xfId="42" applyFont="1" applyFill="1" applyAlignment="1">
      <alignment/>
    </xf>
    <xf numFmtId="0" fontId="2" fillId="0" borderId="0" xfId="0" applyFont="1" applyFill="1" applyAlignment="1">
      <alignment horizontal="center"/>
    </xf>
    <xf numFmtId="0" fontId="2" fillId="0" borderId="11" xfId="0" applyFont="1" applyFill="1" applyBorder="1" applyAlignment="1">
      <alignment horizontal="center"/>
    </xf>
    <xf numFmtId="0" fontId="0" fillId="0" borderId="0" xfId="0" applyFont="1" applyFill="1" applyAlignment="1">
      <alignment/>
    </xf>
    <xf numFmtId="171" fontId="0" fillId="0" borderId="0" xfId="42" applyFont="1" applyFill="1" applyAlignment="1">
      <alignment/>
    </xf>
    <xf numFmtId="169" fontId="0" fillId="0" borderId="24" xfId="0" applyNumberFormat="1" applyFont="1" applyFill="1" applyBorder="1" applyAlignment="1">
      <alignment/>
    </xf>
    <xf numFmtId="169" fontId="0" fillId="0" borderId="0" xfId="0" applyNumberFormat="1" applyFont="1" applyFill="1" applyBorder="1" applyAlignment="1">
      <alignment/>
    </xf>
    <xf numFmtId="169" fontId="0" fillId="0" borderId="11" xfId="0" applyNumberFormat="1" applyFont="1" applyFill="1" applyBorder="1" applyAlignment="1">
      <alignment/>
    </xf>
    <xf numFmtId="171" fontId="2" fillId="0" borderId="0" xfId="42" applyFont="1" applyFill="1" applyAlignment="1">
      <alignment vertical="center" wrapText="1"/>
    </xf>
    <xf numFmtId="0" fontId="2" fillId="0" borderId="22" xfId="0" applyFont="1" applyFill="1" applyBorder="1" applyAlignment="1">
      <alignment horizontal="left"/>
    </xf>
    <xf numFmtId="169" fontId="0" fillId="0" borderId="11" xfId="0" applyNumberFormat="1" applyFont="1" applyFill="1" applyBorder="1" applyAlignment="1">
      <alignment/>
    </xf>
    <xf numFmtId="169" fontId="2" fillId="0" borderId="24" xfId="0" applyNumberFormat="1" applyFont="1" applyFill="1" applyBorder="1" applyAlignment="1">
      <alignment/>
    </xf>
    <xf numFmtId="169" fontId="2" fillId="0" borderId="0" xfId="0" applyNumberFormat="1" applyFont="1" applyFill="1" applyBorder="1" applyAlignment="1">
      <alignment/>
    </xf>
    <xf numFmtId="0" fontId="0" fillId="0" borderId="22" xfId="0" applyFont="1" applyFill="1" applyBorder="1" applyAlignment="1">
      <alignment/>
    </xf>
    <xf numFmtId="169" fontId="2" fillId="0" borderId="28" xfId="0" applyNumberFormat="1" applyFont="1" applyFill="1" applyBorder="1" applyAlignment="1">
      <alignment/>
    </xf>
    <xf numFmtId="169" fontId="2" fillId="0" borderId="18" xfId="0" applyNumberFormat="1" applyFont="1" applyFill="1" applyBorder="1" applyAlignment="1">
      <alignment/>
    </xf>
    <xf numFmtId="3" fontId="0" fillId="0" borderId="0" xfId="0" applyNumberFormat="1" applyFont="1" applyFill="1" applyAlignment="1">
      <alignment/>
    </xf>
    <xf numFmtId="0" fontId="0" fillId="0" borderId="23" xfId="0" applyFont="1" applyFill="1" applyBorder="1" applyAlignment="1">
      <alignment/>
    </xf>
    <xf numFmtId="0" fontId="0" fillId="0" borderId="10" xfId="0" applyFont="1" applyFill="1" applyBorder="1" applyAlignment="1">
      <alignment/>
    </xf>
    <xf numFmtId="0" fontId="0" fillId="0" borderId="16" xfId="0" applyFont="1" applyFill="1" applyBorder="1" applyAlignment="1">
      <alignment/>
    </xf>
    <xf numFmtId="171" fontId="0" fillId="0" borderId="0" xfId="42" applyFont="1" applyFill="1" applyAlignment="1">
      <alignment horizontal="left" vertical="top"/>
    </xf>
    <xf numFmtId="3" fontId="0" fillId="0" borderId="0" xfId="0" applyNumberFormat="1" applyFont="1" applyFill="1" applyBorder="1" applyAlignment="1">
      <alignment/>
    </xf>
    <xf numFmtId="169" fontId="0" fillId="0" borderId="0" xfId="0" applyNumberFormat="1" applyFont="1" applyFill="1" applyAlignment="1">
      <alignment/>
    </xf>
    <xf numFmtId="171"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1" fillId="0" borderId="20" xfId="0" applyFont="1" applyFill="1" applyBorder="1" applyAlignment="1">
      <alignment horizontal="center"/>
    </xf>
    <xf numFmtId="0" fontId="31" fillId="0" borderId="19" xfId="0" applyFont="1" applyFill="1" applyBorder="1" applyAlignment="1">
      <alignment horizontal="center"/>
    </xf>
    <xf numFmtId="0" fontId="31" fillId="0" borderId="21" xfId="0" applyFont="1" applyFill="1" applyBorder="1" applyAlignment="1">
      <alignment horizontal="center"/>
    </xf>
    <xf numFmtId="0" fontId="0" fillId="0" borderId="22"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11" xfId="0" applyFont="1" applyFill="1" applyBorder="1" applyAlignment="1">
      <alignment/>
    </xf>
    <xf numFmtId="0" fontId="0" fillId="0" borderId="22" xfId="0" applyFont="1" applyFill="1" applyBorder="1" applyAlignment="1">
      <alignment/>
    </xf>
    <xf numFmtId="15" fontId="0" fillId="0" borderId="11" xfId="0" applyNumberFormat="1" applyFont="1" applyFill="1" applyBorder="1" applyAlignment="1" quotePrefix="1">
      <alignment/>
    </xf>
    <xf numFmtId="0" fontId="0" fillId="0" borderId="0" xfId="0" applyFont="1" applyFill="1" applyBorder="1" applyAlignment="1" applyProtection="1">
      <alignment/>
      <protection locked="0"/>
    </xf>
    <xf numFmtId="0" fontId="0" fillId="0" borderId="0" xfId="0" applyFont="1" applyFill="1" applyBorder="1" applyAlignment="1">
      <alignment horizontal="left"/>
    </xf>
    <xf numFmtId="0" fontId="0" fillId="0" borderId="23" xfId="0" applyFont="1" applyFill="1" applyBorder="1" applyAlignment="1">
      <alignment/>
    </xf>
    <xf numFmtId="0" fontId="0" fillId="0" borderId="10" xfId="0" applyFont="1" applyFill="1" applyBorder="1" applyAlignment="1">
      <alignment/>
    </xf>
    <xf numFmtId="0" fontId="0" fillId="0" borderId="16" xfId="0" applyFont="1" applyFill="1" applyBorder="1" applyAlignment="1">
      <alignment/>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0" fillId="0" borderId="0" xfId="0" applyFont="1" applyAlignment="1">
      <alignment horizontal="center"/>
    </xf>
    <xf numFmtId="0" fontId="0" fillId="0" borderId="0" xfId="0" applyFont="1" applyFill="1" applyAlignment="1">
      <alignment horizontal="center"/>
    </xf>
    <xf numFmtId="171" fontId="0" fillId="0" borderId="0" xfId="42" applyFont="1" applyFill="1" applyAlignment="1">
      <alignment/>
    </xf>
    <xf numFmtId="171" fontId="0" fillId="0" borderId="0" xfId="42" applyFont="1" applyFill="1" applyAlignment="1">
      <alignment/>
    </xf>
    <xf numFmtId="0" fontId="0" fillId="0" borderId="24" xfId="0" applyFont="1" applyFill="1" applyBorder="1" applyAlignment="1">
      <alignment horizontal="center"/>
    </xf>
    <xf numFmtId="0" fontId="0" fillId="0" borderId="0" xfId="0" applyFont="1" applyFill="1" applyBorder="1" applyAlignment="1">
      <alignment horizontal="right"/>
    </xf>
    <xf numFmtId="0" fontId="2" fillId="0" borderId="0" xfId="0" applyFont="1" applyFill="1" applyBorder="1" applyAlignment="1">
      <alignment horizontal="center"/>
    </xf>
    <xf numFmtId="171" fontId="2" fillId="0" borderId="0" xfId="42" applyFont="1" applyFill="1" applyAlignment="1">
      <alignment horizontal="left"/>
    </xf>
    <xf numFmtId="174" fontId="0" fillId="0" borderId="0" xfId="0" applyNumberFormat="1" applyFont="1" applyFill="1" applyBorder="1" applyAlignment="1">
      <alignment/>
    </xf>
    <xf numFmtId="174" fontId="0" fillId="0" borderId="29" xfId="0" applyNumberFormat="1" applyFont="1" applyFill="1" applyBorder="1" applyAlignment="1">
      <alignment/>
    </xf>
    <xf numFmtId="174" fontId="0" fillId="0" borderId="24" xfId="0" applyNumberFormat="1" applyFont="1" applyFill="1" applyBorder="1" applyAlignment="1">
      <alignment/>
    </xf>
    <xf numFmtId="174" fontId="0" fillId="0" borderId="25" xfId="0" applyNumberFormat="1" applyFont="1" applyFill="1" applyBorder="1" applyAlignment="1">
      <alignment/>
    </xf>
    <xf numFmtId="174" fontId="0" fillId="0" borderId="0" xfId="0" applyNumberFormat="1" applyFont="1" applyFill="1" applyAlignment="1">
      <alignment/>
    </xf>
    <xf numFmtId="174" fontId="2" fillId="0" borderId="30" xfId="0" applyNumberFormat="1" applyFont="1" applyFill="1" applyBorder="1" applyAlignment="1">
      <alignment/>
    </xf>
    <xf numFmtId="171" fontId="0" fillId="0" borderId="0" xfId="0" applyNumberFormat="1" applyFont="1" applyFill="1" applyAlignment="1">
      <alignment/>
    </xf>
    <xf numFmtId="43" fontId="0" fillId="0" borderId="0" xfId="0" applyNumberFormat="1" applyFont="1" applyFill="1" applyAlignment="1">
      <alignment/>
    </xf>
    <xf numFmtId="0" fontId="0" fillId="0" borderId="0" xfId="0" applyFont="1" applyFill="1" applyAlignment="1">
      <alignment horizontal="center"/>
    </xf>
    <xf numFmtId="3" fontId="0" fillId="0" borderId="0" xfId="0" applyNumberFormat="1" applyFont="1" applyFill="1" applyAlignment="1">
      <alignment/>
    </xf>
    <xf numFmtId="0" fontId="0" fillId="0" borderId="0" xfId="42" applyNumberFormat="1" applyFont="1" applyFill="1" applyAlignment="1">
      <alignment/>
    </xf>
    <xf numFmtId="0" fontId="0" fillId="0" borderId="0" xfId="0" applyFont="1" applyFill="1" applyAlignment="1">
      <alignment horizontal="left"/>
    </xf>
    <xf numFmtId="169" fontId="0" fillId="0" borderId="0" xfId="0" applyNumberFormat="1" applyFont="1" applyFill="1" applyAlignment="1">
      <alignment/>
    </xf>
    <xf numFmtId="0" fontId="2" fillId="0" borderId="0" xfId="0" applyFont="1" applyFill="1" applyBorder="1" applyAlignment="1">
      <alignment horizontal="left"/>
    </xf>
    <xf numFmtId="0" fontId="2" fillId="0" borderId="0" xfId="0" applyFont="1" applyFill="1" applyBorder="1" applyAlignment="1">
      <alignment horizontal="right"/>
    </xf>
    <xf numFmtId="0" fontId="2" fillId="0" borderId="24" xfId="0" applyFont="1" applyFill="1" applyBorder="1" applyAlignment="1">
      <alignment horizontal="right"/>
    </xf>
    <xf numFmtId="0" fontId="2" fillId="0" borderId="24" xfId="0" applyFont="1" applyFill="1" applyBorder="1" applyAlignment="1">
      <alignment/>
    </xf>
    <xf numFmtId="0" fontId="0" fillId="0" borderId="0" xfId="0" applyFont="1" applyFill="1" applyBorder="1" applyAlignment="1">
      <alignment horizontal="center"/>
    </xf>
    <xf numFmtId="169" fontId="0" fillId="0" borderId="24" xfId="0" applyNumberFormat="1" applyFont="1" applyFill="1" applyBorder="1" applyAlignment="1">
      <alignment/>
    </xf>
    <xf numFmtId="169" fontId="2" fillId="0" borderId="29" xfId="0" applyNumberFormat="1" applyFont="1" applyFill="1" applyBorder="1" applyAlignment="1">
      <alignment/>
    </xf>
    <xf numFmtId="169" fontId="0" fillId="0" borderId="29" xfId="0" applyNumberFormat="1" applyFont="1" applyFill="1" applyBorder="1" applyAlignment="1">
      <alignment/>
    </xf>
    <xf numFmtId="169" fontId="0" fillId="0" borderId="25" xfId="0" applyNumberFormat="1" applyFont="1" applyFill="1" applyBorder="1" applyAlignment="1">
      <alignment/>
    </xf>
    <xf numFmtId="169" fontId="2" fillId="0" borderId="24" xfId="0" applyNumberFormat="1" applyFont="1" applyFill="1" applyBorder="1" applyAlignment="1">
      <alignment/>
    </xf>
    <xf numFmtId="169" fontId="2" fillId="0" borderId="28" xfId="0" applyNumberFormat="1" applyFont="1" applyFill="1" applyBorder="1" applyAlignment="1">
      <alignment/>
    </xf>
    <xf numFmtId="0" fontId="0" fillId="0" borderId="26" xfId="0" applyFont="1" applyFill="1" applyBorder="1" applyAlignment="1">
      <alignment/>
    </xf>
    <xf numFmtId="0" fontId="0" fillId="0" borderId="0" xfId="0" applyFont="1" applyFill="1" applyAlignment="1">
      <alignment horizontal="left"/>
    </xf>
    <xf numFmtId="0" fontId="2" fillId="0" borderId="20" xfId="0"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27" xfId="0" applyFont="1" applyFill="1" applyBorder="1" applyAlignment="1">
      <alignment/>
    </xf>
    <xf numFmtId="174" fontId="0" fillId="0" borderId="0" xfId="0" applyNumberFormat="1" applyFont="1" applyFill="1" applyBorder="1" applyAlignment="1">
      <alignment/>
    </xf>
    <xf numFmtId="174" fontId="0" fillId="0" borderId="0" xfId="0" applyNumberFormat="1" applyFont="1" applyFill="1" applyAlignment="1">
      <alignment/>
    </xf>
    <xf numFmtId="174" fontId="0" fillId="0" borderId="0" xfId="0" applyNumberFormat="1" applyFont="1" applyFill="1" applyBorder="1" applyAlignment="1">
      <alignment/>
    </xf>
    <xf numFmtId="174" fontId="2" fillId="0" borderId="0" xfId="0" applyNumberFormat="1" applyFont="1" applyFill="1" applyBorder="1" applyAlignment="1">
      <alignment/>
    </xf>
    <xf numFmtId="174" fontId="0" fillId="0" borderId="0" xfId="0" applyNumberFormat="1" applyFont="1" applyFill="1" applyBorder="1" applyAlignment="1">
      <alignment horizontal="right"/>
    </xf>
    <xf numFmtId="174" fontId="0" fillId="0" borderId="0" xfId="42" applyNumberFormat="1" applyFont="1" applyFill="1" applyAlignment="1">
      <alignment/>
    </xf>
    <xf numFmtId="169" fontId="2"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9" fontId="0" fillId="0" borderId="0" xfId="42" applyNumberFormat="1" applyFont="1" applyFill="1" applyAlignment="1">
      <alignment/>
    </xf>
    <xf numFmtId="0" fontId="0" fillId="0" borderId="0" xfId="0" applyFont="1" applyAlignment="1">
      <alignment horizontal="left"/>
    </xf>
    <xf numFmtId="0" fontId="0" fillId="0" borderId="10" xfId="0" applyFont="1" applyBorder="1" applyAlignment="1">
      <alignment horizontal="left"/>
    </xf>
    <xf numFmtId="0" fontId="2" fillId="0" borderId="0" xfId="0" applyFont="1" applyAlignment="1">
      <alignment/>
    </xf>
    <xf numFmtId="0" fontId="0" fillId="0" borderId="0" xfId="0" applyFont="1" applyAlignment="1">
      <alignment/>
    </xf>
    <xf numFmtId="0" fontId="2" fillId="0" borderId="27" xfId="0" applyFont="1" applyFill="1" applyBorder="1" applyAlignment="1">
      <alignment horizontal="justify" vertical="top"/>
    </xf>
    <xf numFmtId="0" fontId="2" fillId="0" borderId="27" xfId="0" applyFont="1" applyFill="1" applyBorder="1" applyAlignment="1">
      <alignment horizontal="right" vertical="top" wrapText="1"/>
    </xf>
    <xf numFmtId="0" fontId="2" fillId="0" borderId="27" xfId="0" applyFont="1" applyFill="1" applyBorder="1" applyAlignment="1">
      <alignment horizontal="justify"/>
    </xf>
    <xf numFmtId="0" fontId="2" fillId="0" borderId="13" xfId="0" applyFont="1" applyFill="1" applyBorder="1" applyAlignment="1">
      <alignment horizontal="right" wrapText="1"/>
    </xf>
    <xf numFmtId="0" fontId="2" fillId="0" borderId="16" xfId="0" applyFont="1" applyFill="1" applyBorder="1" applyAlignment="1">
      <alignment horizontal="right" wrapText="1"/>
    </xf>
    <xf numFmtId="0" fontId="2" fillId="0" borderId="16" xfId="0" applyFont="1" applyFill="1" applyBorder="1" applyAlignment="1">
      <alignment horizontal="right"/>
    </xf>
    <xf numFmtId="0" fontId="2" fillId="0" borderId="27" xfId="0" applyFont="1" applyFill="1" applyBorder="1" applyAlignment="1">
      <alignment horizontal="justify"/>
    </xf>
    <xf numFmtId="169" fontId="2" fillId="0" borderId="12" xfId="0" applyNumberFormat="1" applyFont="1" applyFill="1" applyBorder="1" applyAlignment="1">
      <alignment wrapText="1"/>
    </xf>
    <xf numFmtId="169" fontId="2" fillId="0" borderId="12" xfId="0" applyNumberFormat="1" applyFont="1" applyFill="1" applyBorder="1" applyAlignment="1">
      <alignment/>
    </xf>
    <xf numFmtId="169" fontId="2" fillId="0" borderId="11" xfId="0" applyNumberFormat="1" applyFont="1" applyFill="1" applyBorder="1" applyAlignment="1">
      <alignment horizontal="right" wrapText="1"/>
    </xf>
    <xf numFmtId="169" fontId="2" fillId="0" borderId="27" xfId="0" applyNumberFormat="1" applyFont="1" applyFill="1" applyBorder="1" applyAlignment="1">
      <alignment wrapText="1"/>
    </xf>
    <xf numFmtId="169" fontId="0" fillId="0" borderId="12" xfId="0" applyNumberFormat="1" applyFont="1" applyFill="1" applyBorder="1" applyAlignment="1">
      <alignment wrapText="1"/>
    </xf>
    <xf numFmtId="169" fontId="0" fillId="0" borderId="27" xfId="0" applyNumberFormat="1" applyFont="1" applyFill="1" applyBorder="1" applyAlignment="1">
      <alignment wrapText="1"/>
    </xf>
    <xf numFmtId="169" fontId="0" fillId="0" borderId="13" xfId="0" applyNumberFormat="1" applyFont="1" applyFill="1" applyBorder="1" applyAlignment="1">
      <alignment wrapText="1"/>
    </xf>
    <xf numFmtId="0" fontId="2" fillId="0" borderId="27" xfId="0" applyFont="1" applyFill="1" applyBorder="1" applyAlignment="1">
      <alignment/>
    </xf>
    <xf numFmtId="169" fontId="0" fillId="0" borderId="27" xfId="0" applyNumberFormat="1" applyFont="1" applyFill="1" applyBorder="1" applyAlignment="1">
      <alignment wrapText="1"/>
    </xf>
    <xf numFmtId="169" fontId="2" fillId="0" borderId="13" xfId="0" applyNumberFormat="1" applyFont="1" applyFill="1" applyBorder="1" applyAlignment="1">
      <alignment wrapText="1"/>
    </xf>
    <xf numFmtId="0" fontId="2" fillId="0" borderId="22" xfId="0" applyFont="1" applyFill="1" applyBorder="1" applyAlignment="1">
      <alignment horizontal="justify" vertical="top"/>
    </xf>
    <xf numFmtId="169" fontId="2" fillId="0" borderId="27" xfId="0" applyNumberFormat="1" applyFont="1" applyFill="1" applyBorder="1" applyAlignment="1">
      <alignment horizontal="right" vertical="top" wrapText="1"/>
    </xf>
    <xf numFmtId="169" fontId="2" fillId="0" borderId="13" xfId="0" applyNumberFormat="1" applyFont="1" applyFill="1" applyBorder="1" applyAlignment="1">
      <alignment horizontal="right" wrapText="1"/>
    </xf>
    <xf numFmtId="169" fontId="2" fillId="0" borderId="16" xfId="0" applyNumberFormat="1" applyFont="1" applyFill="1" applyBorder="1" applyAlignment="1">
      <alignment horizontal="right" wrapText="1"/>
    </xf>
    <xf numFmtId="169" fontId="2" fillId="0" borderId="16" xfId="0" applyNumberFormat="1" applyFont="1" applyFill="1" applyBorder="1" applyAlignment="1">
      <alignment horizontal="right"/>
    </xf>
    <xf numFmtId="169" fontId="2" fillId="0" borderId="31" xfId="0" applyNumberFormat="1" applyFont="1" applyFill="1" applyBorder="1" applyAlignment="1">
      <alignment wrapText="1"/>
    </xf>
    <xf numFmtId="169" fontId="0" fillId="0" borderId="32" xfId="0" applyNumberFormat="1" applyFont="1" applyFill="1" applyBorder="1" applyAlignment="1">
      <alignment/>
    </xf>
    <xf numFmtId="169" fontId="0" fillId="0" borderId="33" xfId="0" applyNumberFormat="1" applyFont="1" applyFill="1" applyBorder="1" applyAlignment="1">
      <alignment/>
    </xf>
    <xf numFmtId="169" fontId="0" fillId="0" borderId="34" xfId="0" applyNumberFormat="1" applyFont="1" applyFill="1" applyBorder="1" applyAlignment="1">
      <alignment/>
    </xf>
    <xf numFmtId="0" fontId="34" fillId="0" borderId="0" xfId="0" applyFont="1" applyAlignment="1">
      <alignment/>
    </xf>
    <xf numFmtId="171" fontId="2" fillId="0" borderId="0" xfId="42" applyFont="1" applyFill="1" applyAlignment="1">
      <alignment horizontal="center"/>
    </xf>
    <xf numFmtId="0" fontId="2" fillId="0" borderId="0" xfId="0" applyFont="1" applyFill="1" applyBorder="1" applyAlignment="1">
      <alignment horizontal="center"/>
    </xf>
    <xf numFmtId="0" fontId="0" fillId="0" borderId="0" xfId="0" applyFont="1" applyFill="1" applyAlignment="1">
      <alignment horizontal="left"/>
    </xf>
    <xf numFmtId="1" fontId="0" fillId="0" borderId="0" xfId="0" applyNumberFormat="1" applyFont="1" applyFill="1" applyAlignment="1">
      <alignment horizontal="left"/>
    </xf>
    <xf numFmtId="0" fontId="2" fillId="0" borderId="19" xfId="0" applyFont="1" applyFill="1" applyBorder="1" applyAlignment="1">
      <alignment/>
    </xf>
    <xf numFmtId="14" fontId="2" fillId="0" borderId="19" xfId="0" applyNumberFormat="1" applyFont="1" applyFill="1" applyBorder="1" applyAlignment="1">
      <alignment horizontal="center"/>
    </xf>
    <xf numFmtId="0" fontId="2" fillId="0" borderId="21" xfId="0" applyFont="1" applyFill="1" applyBorder="1" applyAlignment="1">
      <alignment horizontal="center"/>
    </xf>
    <xf numFmtId="0" fontId="2" fillId="0" borderId="0" xfId="0" applyFont="1" applyFill="1" applyBorder="1" applyAlignment="1">
      <alignment/>
    </xf>
    <xf numFmtId="14" fontId="2" fillId="0" borderId="0" xfId="0" applyNumberFormat="1" applyFont="1" applyFill="1" applyBorder="1" applyAlignment="1">
      <alignment horizontal="center"/>
    </xf>
    <xf numFmtId="14" fontId="2" fillId="0" borderId="11" xfId="0" applyNumberFormat="1" applyFont="1" applyFill="1" applyBorder="1" applyAlignment="1">
      <alignment horizontal="center"/>
    </xf>
    <xf numFmtId="0" fontId="2" fillId="0" borderId="0" xfId="0" applyFont="1" applyFill="1" applyBorder="1" applyAlignment="1">
      <alignment/>
    </xf>
    <xf numFmtId="14" fontId="2" fillId="0" borderId="0" xfId="0" applyNumberFormat="1" applyFont="1" applyFill="1" applyBorder="1" applyAlignment="1">
      <alignment horizontal="center"/>
    </xf>
    <xf numFmtId="0" fontId="0" fillId="0" borderId="23" xfId="0" applyFont="1" applyFill="1" applyBorder="1" applyAlignment="1">
      <alignment/>
    </xf>
    <xf numFmtId="0" fontId="2" fillId="0" borderId="10" xfId="0" applyFont="1" applyFill="1" applyBorder="1" applyAlignment="1">
      <alignment/>
    </xf>
    <xf numFmtId="14" fontId="2" fillId="0" borderId="10" xfId="0" applyNumberFormat="1" applyFont="1" applyFill="1" applyBorder="1" applyAlignment="1">
      <alignment horizontal="right"/>
    </xf>
    <xf numFmtId="0" fontId="2" fillId="0" borderId="13" xfId="0" applyFont="1" applyFill="1" applyBorder="1" applyAlignment="1">
      <alignment horizontal="right"/>
    </xf>
    <xf numFmtId="0" fontId="2" fillId="0" borderId="16" xfId="0" applyFont="1" applyFill="1" applyBorder="1" applyAlignment="1">
      <alignment horizontal="right"/>
    </xf>
    <xf numFmtId="0" fontId="0" fillId="0" borderId="0" xfId="0" applyFont="1" applyFill="1" applyBorder="1" applyAlignment="1">
      <alignment/>
    </xf>
    <xf numFmtId="14" fontId="2" fillId="0" borderId="0" xfId="0" applyNumberFormat="1" applyFont="1" applyFill="1" applyBorder="1" applyAlignment="1">
      <alignment horizontal="right"/>
    </xf>
    <xf numFmtId="0" fontId="2" fillId="0" borderId="27" xfId="0" applyFont="1" applyFill="1" applyBorder="1" applyAlignment="1">
      <alignment horizontal="right"/>
    </xf>
    <xf numFmtId="0" fontId="2" fillId="0" borderId="11" xfId="0" applyFont="1" applyFill="1" applyBorder="1" applyAlignment="1">
      <alignment horizontal="right"/>
    </xf>
    <xf numFmtId="14" fontId="0" fillId="0" borderId="0" xfId="0" applyNumberFormat="1" applyFont="1" applyFill="1" applyBorder="1" applyAlignment="1">
      <alignment horizontal="right"/>
    </xf>
    <xf numFmtId="169" fontId="0" fillId="0" borderId="27" xfId="0" applyNumberFormat="1" applyFont="1" applyFill="1" applyBorder="1" applyAlignment="1">
      <alignment horizontal="right"/>
    </xf>
    <xf numFmtId="169" fontId="0" fillId="0" borderId="11" xfId="0" applyNumberFormat="1" applyFont="1" applyFill="1" applyBorder="1" applyAlignment="1">
      <alignment horizontal="right"/>
    </xf>
    <xf numFmtId="0" fontId="0" fillId="0" borderId="0" xfId="0" applyFont="1" applyFill="1" applyBorder="1" applyAlignment="1">
      <alignment/>
    </xf>
    <xf numFmtId="14" fontId="0" fillId="0" borderId="0" xfId="0" applyNumberFormat="1" applyFont="1" applyFill="1" applyBorder="1" applyAlignment="1">
      <alignment horizontal="right"/>
    </xf>
    <xf numFmtId="169" fontId="0" fillId="0" borderId="27" xfId="0" applyNumberFormat="1" applyFont="1" applyFill="1" applyBorder="1" applyAlignment="1">
      <alignment horizontal="right"/>
    </xf>
    <xf numFmtId="169" fontId="0" fillId="0" borderId="11" xfId="0" applyNumberFormat="1" applyFont="1" applyFill="1" applyBorder="1" applyAlignment="1">
      <alignment horizontal="right"/>
    </xf>
    <xf numFmtId="10" fontId="0" fillId="0" borderId="22" xfId="0" applyNumberFormat="1" applyFont="1" applyFill="1" applyBorder="1" applyAlignment="1">
      <alignment horizontal="left"/>
    </xf>
    <xf numFmtId="171" fontId="0" fillId="0" borderId="0" xfId="42" applyFont="1" applyFill="1" applyBorder="1" applyAlignment="1">
      <alignment horizontal="right"/>
    </xf>
    <xf numFmtId="9" fontId="0" fillId="0" borderId="22" xfId="0" applyNumberFormat="1" applyFont="1" applyFill="1" applyBorder="1" applyAlignment="1">
      <alignment horizontal="left"/>
    </xf>
    <xf numFmtId="10" fontId="0" fillId="0" borderId="22" xfId="0" applyNumberFormat="1" applyFont="1" applyFill="1" applyBorder="1" applyAlignment="1">
      <alignment horizontal="left"/>
    </xf>
    <xf numFmtId="171" fontId="0" fillId="0" borderId="0" xfId="0" applyNumberFormat="1" applyFont="1" applyFill="1" applyBorder="1" applyAlignment="1">
      <alignment/>
    </xf>
    <xf numFmtId="14" fontId="2" fillId="0" borderId="0" xfId="0" applyNumberFormat="1" applyFont="1" applyFill="1" applyBorder="1" applyAlignment="1">
      <alignment/>
    </xf>
    <xf numFmtId="169" fontId="2" fillId="0" borderId="27" xfId="0" applyNumberFormat="1" applyFont="1" applyFill="1" applyBorder="1" applyAlignment="1">
      <alignment horizontal="right"/>
    </xf>
    <xf numFmtId="169" fontId="2" fillId="0" borderId="11" xfId="0" applyNumberFormat="1" applyFont="1" applyFill="1" applyBorder="1" applyAlignment="1">
      <alignment horizontal="right"/>
    </xf>
    <xf numFmtId="14" fontId="0" fillId="0" borderId="0" xfId="0" applyNumberFormat="1" applyFont="1" applyFill="1" applyAlignment="1">
      <alignment/>
    </xf>
    <xf numFmtId="14" fontId="0" fillId="0" borderId="0" xfId="0" applyNumberFormat="1" applyFont="1" applyFill="1" applyAlignment="1">
      <alignment/>
    </xf>
    <xf numFmtId="174" fontId="0" fillId="0" borderId="35" xfId="0" applyNumberFormat="1" applyFont="1" applyFill="1" applyBorder="1" applyAlignment="1">
      <alignment/>
    </xf>
    <xf numFmtId="174" fontId="0" fillId="0" borderId="35" xfId="0" applyNumberFormat="1" applyFont="1" applyFill="1" applyBorder="1" applyAlignment="1">
      <alignment/>
    </xf>
    <xf numFmtId="174" fontId="0" fillId="0" borderId="25" xfId="0" applyNumberFormat="1" applyFont="1" applyFill="1" applyBorder="1" applyAlignment="1">
      <alignment/>
    </xf>
    <xf numFmtId="169" fontId="0" fillId="0" borderId="0" xfId="0" applyNumberFormat="1" applyFont="1" applyFill="1" applyBorder="1" applyAlignment="1">
      <alignment/>
    </xf>
    <xf numFmtId="169" fontId="0" fillId="0" borderId="36" xfId="0" applyNumberFormat="1" applyFont="1" applyFill="1" applyBorder="1" applyAlignment="1">
      <alignment/>
    </xf>
    <xf numFmtId="169" fontId="0" fillId="0" borderId="35" xfId="0" applyNumberFormat="1" applyFont="1" applyFill="1" applyBorder="1" applyAlignment="1">
      <alignment/>
    </xf>
    <xf numFmtId="0" fontId="0" fillId="0" borderId="0" xfId="0" applyFont="1" applyFill="1" applyAlignment="1">
      <alignment horizontal="left"/>
    </xf>
    <xf numFmtId="1" fontId="0" fillId="0" borderId="0" xfId="0" applyNumberFormat="1" applyFont="1" applyFill="1" applyAlignment="1">
      <alignment horizontal="left"/>
    </xf>
    <xf numFmtId="174" fontId="2" fillId="0" borderId="0" xfId="58" applyNumberFormat="1" applyFont="1" applyFill="1" applyBorder="1" applyAlignment="1">
      <alignment horizontal="right"/>
      <protection/>
    </xf>
    <xf numFmtId="0" fontId="0" fillId="0" borderId="0" xfId="0" applyFont="1" applyFill="1" applyAlignment="1">
      <alignment/>
    </xf>
    <xf numFmtId="171" fontId="0" fillId="0" borderId="0" xfId="42" applyFont="1" applyFill="1" applyAlignment="1">
      <alignment/>
    </xf>
    <xf numFmtId="0" fontId="0" fillId="0" borderId="0" xfId="0" applyFont="1" applyFill="1" applyBorder="1" applyAlignment="1">
      <alignment horizontal="left"/>
    </xf>
    <xf numFmtId="1" fontId="0" fillId="0" borderId="0" xfId="0" applyNumberFormat="1" applyFont="1" applyFill="1" applyBorder="1" applyAlignment="1">
      <alignment horizontal="left"/>
    </xf>
    <xf numFmtId="174" fontId="0" fillId="0" borderId="0" xfId="0" applyNumberFormat="1" applyFont="1" applyFill="1" applyAlignment="1">
      <alignment/>
    </xf>
    <xf numFmtId="171" fontId="0" fillId="0" borderId="0" xfId="0" applyNumberFormat="1" applyFont="1" applyFill="1" applyAlignment="1">
      <alignment/>
    </xf>
    <xf numFmtId="38" fontId="2" fillId="0" borderId="0" xfId="58" applyNumberFormat="1" applyFont="1" applyFill="1" applyBorder="1" applyAlignment="1">
      <alignment horizontal="left"/>
      <protection/>
    </xf>
    <xf numFmtId="1" fontId="2" fillId="0" borderId="0" xfId="58" applyNumberFormat="1" applyFont="1" applyFill="1" applyBorder="1" applyAlignment="1">
      <alignment horizontal="left"/>
      <protection/>
    </xf>
    <xf numFmtId="0" fontId="35"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12" xfId="0" applyFont="1" applyFill="1" applyBorder="1" applyAlignment="1">
      <alignment/>
    </xf>
    <xf numFmtId="0" fontId="0" fillId="0" borderId="27" xfId="0" applyFont="1" applyFill="1" applyBorder="1" applyAlignment="1">
      <alignment/>
    </xf>
    <xf numFmtId="0" fontId="2" fillId="0" borderId="27" xfId="0" applyFont="1" applyFill="1" applyBorder="1" applyAlignment="1">
      <alignment/>
    </xf>
    <xf numFmtId="169" fontId="0" fillId="0" borderId="0" xfId="0" applyNumberFormat="1" applyFont="1" applyFill="1" applyBorder="1" applyAlignment="1">
      <alignment/>
    </xf>
    <xf numFmtId="0" fontId="0" fillId="0" borderId="0" xfId="0" applyFont="1" applyFill="1" applyBorder="1" applyAlignment="1">
      <alignment/>
    </xf>
    <xf numFmtId="0" fontId="34" fillId="0" borderId="0" xfId="0" applyFont="1" applyFill="1" applyAlignment="1">
      <alignment horizontal="right"/>
    </xf>
    <xf numFmtId="0" fontId="0" fillId="0" borderId="0" xfId="0" applyFont="1" applyFill="1" applyAlignment="1">
      <alignment/>
    </xf>
    <xf numFmtId="0" fontId="0" fillId="0" borderId="27" xfId="0" applyFont="1" applyFill="1" applyBorder="1" applyAlignment="1">
      <alignment/>
    </xf>
    <xf numFmtId="169" fontId="0" fillId="0" borderId="0" xfId="0" applyNumberFormat="1" applyFont="1" applyFill="1" applyBorder="1" applyAlignment="1">
      <alignment/>
    </xf>
    <xf numFmtId="0" fontId="0" fillId="0" borderId="0" xfId="0" applyFont="1" applyFill="1" applyBorder="1" applyAlignment="1">
      <alignment/>
    </xf>
    <xf numFmtId="169" fontId="34" fillId="0" borderId="0" xfId="0" applyNumberFormat="1" applyFont="1" applyFill="1" applyAlignment="1">
      <alignment/>
    </xf>
    <xf numFmtId="0" fontId="2" fillId="0" borderId="27" xfId="0" applyFont="1" applyFill="1" applyBorder="1" applyAlignment="1">
      <alignment horizontal="right"/>
    </xf>
    <xf numFmtId="169" fontId="35" fillId="0" borderId="0" xfId="0" applyNumberFormat="1" applyFont="1" applyFill="1" applyAlignment="1">
      <alignment/>
    </xf>
    <xf numFmtId="169" fontId="0" fillId="0" borderId="0" xfId="0" applyNumberFormat="1" applyFont="1" applyFill="1" applyAlignment="1">
      <alignment/>
    </xf>
    <xf numFmtId="169" fontId="2" fillId="0" borderId="18" xfId="0" applyNumberFormat="1" applyFont="1" applyFill="1" applyBorder="1" applyAlignment="1">
      <alignment/>
    </xf>
    <xf numFmtId="0" fontId="2" fillId="0" borderId="0" xfId="0" applyFont="1" applyFill="1" applyAlignment="1">
      <alignment/>
    </xf>
    <xf numFmtId="0" fontId="0" fillId="0" borderId="13" xfId="0" applyFont="1" applyFill="1" applyBorder="1" applyAlignment="1">
      <alignment/>
    </xf>
    <xf numFmtId="49" fontId="2" fillId="0" borderId="0" xfId="0" applyNumberFormat="1" applyFont="1" applyFill="1" applyAlignment="1">
      <alignment/>
    </xf>
    <xf numFmtId="0" fontId="0" fillId="0" borderId="0" xfId="0" applyFont="1" applyBorder="1" applyAlignment="1">
      <alignment/>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ont="1" applyAlignment="1">
      <alignment horizontal="left"/>
    </xf>
    <xf numFmtId="1" fontId="0" fillId="0" borderId="0" xfId="0" applyNumberFormat="1" applyFont="1" applyAlignment="1">
      <alignment horizontal="left"/>
    </xf>
    <xf numFmtId="0" fontId="0" fillId="0" borderId="0" xfId="0" applyFont="1" applyBorder="1" applyAlignment="1">
      <alignment/>
    </xf>
    <xf numFmtId="49" fontId="0" fillId="0" borderId="0" xfId="0" applyNumberFormat="1" applyFont="1" applyAlignment="1">
      <alignment/>
    </xf>
    <xf numFmtId="0" fontId="0" fillId="0" borderId="12" xfId="0" applyFont="1" applyBorder="1" applyAlignment="1">
      <alignment/>
    </xf>
    <xf numFmtId="0" fontId="2" fillId="0" borderId="20" xfId="0" applyFont="1" applyBorder="1" applyAlignment="1">
      <alignment horizontal="center"/>
    </xf>
    <xf numFmtId="49" fontId="0" fillId="0" borderId="0" xfId="0" applyNumberFormat="1" applyFont="1" applyBorder="1" applyAlignment="1">
      <alignment/>
    </xf>
    <xf numFmtId="0" fontId="0" fillId="0" borderId="27" xfId="0" applyFont="1" applyBorder="1" applyAlignment="1">
      <alignment/>
    </xf>
    <xf numFmtId="49" fontId="2" fillId="0" borderId="0" xfId="0" applyNumberFormat="1" applyFont="1" applyBorder="1" applyAlignment="1">
      <alignment/>
    </xf>
    <xf numFmtId="3" fontId="0" fillId="0" borderId="24" xfId="0" applyNumberFormat="1" applyFont="1" applyBorder="1" applyAlignment="1">
      <alignment/>
    </xf>
    <xf numFmtId="169" fontId="0" fillId="0" borderId="24" xfId="0" applyNumberFormat="1" applyFont="1" applyBorder="1" applyAlignment="1">
      <alignment horizontal="center"/>
    </xf>
    <xf numFmtId="3" fontId="0" fillId="0" borderId="24" xfId="0" applyNumberFormat="1" applyFont="1" applyBorder="1" applyAlignment="1">
      <alignment horizontal="center"/>
    </xf>
    <xf numFmtId="169" fontId="0" fillId="0" borderId="24" xfId="0" applyNumberFormat="1" applyFont="1" applyBorder="1" applyAlignment="1">
      <alignment/>
    </xf>
    <xf numFmtId="0" fontId="0" fillId="0" borderId="22" xfId="0" applyFont="1" applyBorder="1" applyAlignment="1">
      <alignment/>
    </xf>
    <xf numFmtId="3" fontId="0" fillId="0" borderId="0" xfId="0" applyNumberFormat="1" applyFont="1" applyAlignment="1">
      <alignment/>
    </xf>
    <xf numFmtId="169" fontId="0" fillId="0" borderId="0" xfId="0" applyNumberFormat="1" applyFont="1" applyAlignment="1">
      <alignment/>
    </xf>
    <xf numFmtId="174" fontId="0" fillId="0" borderId="24" xfId="0" applyNumberFormat="1" applyFont="1" applyBorder="1" applyAlignment="1">
      <alignment/>
    </xf>
    <xf numFmtId="49" fontId="0" fillId="0" borderId="0" xfId="0" applyNumberFormat="1" applyFont="1" applyBorder="1" applyAlignment="1">
      <alignment horizontal="right"/>
    </xf>
    <xf numFmtId="0" fontId="0" fillId="0" borderId="13" xfId="0" applyFont="1" applyBorder="1" applyAlignment="1">
      <alignment/>
    </xf>
    <xf numFmtId="0" fontId="0" fillId="0" borderId="0" xfId="0" applyFont="1" applyBorder="1" applyAlignment="1">
      <alignment horizontal="center"/>
    </xf>
    <xf numFmtId="0" fontId="36" fillId="0" borderId="0" xfId="0" applyFont="1" applyFill="1" applyAlignment="1">
      <alignment horizontal="center"/>
    </xf>
    <xf numFmtId="0" fontId="0" fillId="0" borderId="37" xfId="0" applyFont="1" applyFill="1" applyBorder="1" applyAlignment="1">
      <alignment/>
    </xf>
    <xf numFmtId="0" fontId="2" fillId="0" borderId="37" xfId="0" applyFont="1" applyFill="1" applyBorder="1" applyAlignment="1">
      <alignment/>
    </xf>
    <xf numFmtId="0" fontId="0" fillId="0" borderId="20" xfId="0" applyFont="1" applyFill="1" applyBorder="1" applyAlignment="1">
      <alignment/>
    </xf>
    <xf numFmtId="0" fontId="2" fillId="0" borderId="38" xfId="0" applyFont="1" applyFill="1" applyBorder="1" applyAlignment="1">
      <alignment horizontal="center"/>
    </xf>
    <xf numFmtId="0" fontId="0" fillId="0" borderId="39" xfId="0" applyFont="1" applyFill="1" applyBorder="1" applyAlignment="1">
      <alignment/>
    </xf>
    <xf numFmtId="0" fontId="2" fillId="0" borderId="22" xfId="0" applyFont="1" applyFill="1" applyBorder="1" applyAlignment="1">
      <alignment/>
    </xf>
    <xf numFmtId="0" fontId="0" fillId="0" borderId="26" xfId="0" applyFont="1" applyFill="1" applyBorder="1" applyAlignment="1">
      <alignment horizontal="center"/>
    </xf>
    <xf numFmtId="0" fontId="0" fillId="0" borderId="40" xfId="0" applyFont="1" applyFill="1" applyBorder="1" applyAlignment="1">
      <alignment/>
    </xf>
    <xf numFmtId="0" fontId="2" fillId="0" borderId="21" xfId="0" applyFont="1" applyBorder="1" applyAlignment="1">
      <alignment horizontal="center"/>
    </xf>
    <xf numFmtId="0" fontId="2" fillId="0" borderId="11" xfId="0" applyFont="1" applyBorder="1" applyAlignment="1">
      <alignment horizontal="center"/>
    </xf>
    <xf numFmtId="0" fontId="2" fillId="0" borderId="22" xfId="0" applyFont="1" applyBorder="1" applyAlignment="1">
      <alignment horizontal="left"/>
    </xf>
    <xf numFmtId="0" fontId="2" fillId="0" borderId="22" xfId="0" applyFont="1" applyBorder="1" applyAlignment="1">
      <alignment horizontal="right"/>
    </xf>
    <xf numFmtId="0" fontId="2" fillId="0" borderId="22" xfId="0" applyFont="1" applyBorder="1" applyAlignment="1">
      <alignment vertical="top" wrapText="1"/>
    </xf>
    <xf numFmtId="0" fontId="2" fillId="0" borderId="11" xfId="0" applyFont="1" applyBorder="1" applyAlignment="1">
      <alignment horizontal="center" vertical="top" wrapText="1"/>
    </xf>
    <xf numFmtId="0" fontId="2" fillId="0" borderId="11" xfId="0" applyFont="1" applyBorder="1" applyAlignment="1">
      <alignment horizontal="center" vertical="center"/>
    </xf>
    <xf numFmtId="0" fontId="2" fillId="0" borderId="23" xfId="0" applyFont="1" applyBorder="1" applyAlignment="1">
      <alignment horizontal="left" vertical="top" wrapText="1"/>
    </xf>
    <xf numFmtId="0" fontId="2" fillId="0" borderId="16" xfId="0" applyFont="1" applyBorder="1" applyAlignment="1">
      <alignment horizontal="center" vertical="top" wrapText="1"/>
    </xf>
    <xf numFmtId="0" fontId="2" fillId="0" borderId="38" xfId="0" applyFont="1" applyFill="1" applyBorder="1" applyAlignment="1">
      <alignment horizontal="right"/>
    </xf>
    <xf numFmtId="0" fontId="2" fillId="0" borderId="19" xfId="0" applyFont="1" applyFill="1" applyBorder="1" applyAlignment="1">
      <alignment horizontal="right"/>
    </xf>
    <xf numFmtId="0" fontId="2" fillId="0" borderId="41" xfId="0" applyFont="1" applyFill="1" applyBorder="1" applyAlignment="1">
      <alignment horizontal="right"/>
    </xf>
    <xf numFmtId="0" fontId="2" fillId="0" borderId="35" xfId="0" applyFont="1" applyFill="1" applyBorder="1" applyAlignment="1">
      <alignment horizontal="right"/>
    </xf>
    <xf numFmtId="0" fontId="2" fillId="0" borderId="35" xfId="0" applyFont="1" applyFill="1" applyBorder="1" applyAlignment="1">
      <alignment/>
    </xf>
    <xf numFmtId="169" fontId="0" fillId="0" borderId="42" xfId="0" applyNumberFormat="1" applyFont="1" applyFill="1" applyBorder="1" applyAlignment="1">
      <alignment/>
    </xf>
    <xf numFmtId="169" fontId="2" fillId="0" borderId="35" xfId="0" applyNumberFormat="1" applyFont="1" applyFill="1" applyBorder="1" applyAlignment="1">
      <alignment/>
    </xf>
    <xf numFmtId="0" fontId="2" fillId="0" borderId="38" xfId="0" applyFont="1" applyFill="1" applyBorder="1" applyAlignment="1">
      <alignment horizontal="right" vertical="center" wrapText="1"/>
    </xf>
    <xf numFmtId="169" fontId="2" fillId="0" borderId="24" xfId="0" applyNumberFormat="1" applyFont="1" applyFill="1" applyBorder="1" applyAlignment="1">
      <alignment horizontal="right"/>
    </xf>
    <xf numFmtId="169" fontId="2" fillId="0" borderId="30" xfId="0" applyNumberFormat="1" applyFont="1" applyFill="1" applyBorder="1" applyAlignment="1">
      <alignment/>
    </xf>
    <xf numFmtId="0" fontId="2" fillId="0" borderId="22" xfId="0" applyFont="1" applyFill="1" applyBorder="1" applyAlignment="1">
      <alignment horizontal="left"/>
    </xf>
    <xf numFmtId="169" fontId="0" fillId="0" borderId="43" xfId="0" applyNumberFormat="1" applyFont="1" applyFill="1" applyBorder="1" applyAlignment="1">
      <alignment/>
    </xf>
    <xf numFmtId="169" fontId="0" fillId="0" borderId="43" xfId="0" applyNumberFormat="1" applyFont="1" applyFill="1" applyBorder="1" applyAlignment="1">
      <alignment/>
    </xf>
    <xf numFmtId="169" fontId="2" fillId="0" borderId="43" xfId="0" applyNumberFormat="1" applyFont="1" applyFill="1" applyBorder="1" applyAlignment="1">
      <alignment/>
    </xf>
    <xf numFmtId="169" fontId="2" fillId="0" borderId="44" xfId="0" applyNumberFormat="1" applyFont="1" applyFill="1" applyBorder="1" applyAlignment="1">
      <alignment/>
    </xf>
    <xf numFmtId="169" fontId="2" fillId="0" borderId="43" xfId="0" applyNumberFormat="1" applyFont="1" applyFill="1" applyBorder="1" applyAlignment="1">
      <alignment/>
    </xf>
    <xf numFmtId="169" fontId="2" fillId="0" borderId="30" xfId="0" applyNumberFormat="1" applyFont="1" applyFill="1" applyBorder="1" applyAlignment="1">
      <alignment/>
    </xf>
    <xf numFmtId="0" fontId="0" fillId="0" borderId="24" xfId="0" applyFont="1" applyFill="1" applyBorder="1" applyAlignment="1">
      <alignment horizontal="center"/>
    </xf>
    <xf numFmtId="0" fontId="2" fillId="0" borderId="24" xfId="0" applyFont="1" applyFill="1" applyBorder="1" applyAlignment="1">
      <alignment horizontal="center"/>
    </xf>
    <xf numFmtId="0" fontId="2" fillId="0" borderId="24" xfId="0" applyFont="1" applyFill="1" applyBorder="1" applyAlignment="1">
      <alignment horizontal="center"/>
    </xf>
    <xf numFmtId="169" fontId="2" fillId="0" borderId="45" xfId="0" applyNumberFormat="1" applyFont="1" applyFill="1" applyBorder="1" applyAlignment="1">
      <alignment/>
    </xf>
    <xf numFmtId="169" fontId="2" fillId="0" borderId="43" xfId="0" applyNumberFormat="1" applyFont="1" applyFill="1" applyBorder="1" applyAlignment="1">
      <alignment horizontal="right"/>
    </xf>
    <xf numFmtId="0" fontId="2" fillId="0" borderId="21" xfId="0" applyFont="1" applyFill="1" applyBorder="1" applyAlignment="1">
      <alignment horizontal="right" vertical="center" wrapText="1"/>
    </xf>
    <xf numFmtId="169" fontId="2" fillId="0" borderId="11" xfId="0" applyNumberFormat="1" applyFont="1" applyFill="1" applyBorder="1" applyAlignment="1">
      <alignment/>
    </xf>
    <xf numFmtId="169" fontId="2" fillId="0" borderId="46" xfId="0" applyNumberFormat="1" applyFont="1" applyFill="1" applyBorder="1" applyAlignment="1">
      <alignment/>
    </xf>
    <xf numFmtId="0" fontId="2" fillId="0" borderId="0" xfId="0" applyFont="1" applyFill="1" applyBorder="1" applyAlignment="1">
      <alignment horizontal="center"/>
    </xf>
    <xf numFmtId="0" fontId="2" fillId="0" borderId="24" xfId="0" applyFont="1" applyFill="1" applyBorder="1" applyAlignment="1">
      <alignment/>
    </xf>
    <xf numFmtId="0" fontId="2" fillId="0" borderId="22" xfId="0" applyFont="1" applyFill="1" applyBorder="1" applyAlignment="1">
      <alignment vertical="center" wrapText="1"/>
    </xf>
    <xf numFmtId="0" fontId="0" fillId="0" borderId="26" xfId="0" applyFont="1" applyFill="1" applyBorder="1" applyAlignment="1">
      <alignment/>
    </xf>
    <xf numFmtId="3" fontId="0" fillId="0" borderId="26" xfId="0" applyNumberFormat="1" applyFont="1" applyFill="1" applyBorder="1" applyAlignment="1">
      <alignment/>
    </xf>
    <xf numFmtId="169" fontId="2" fillId="0" borderId="38" xfId="0" applyNumberFormat="1" applyFont="1" applyFill="1" applyBorder="1" applyAlignment="1">
      <alignment horizontal="right"/>
    </xf>
    <xf numFmtId="169" fontId="2" fillId="0" borderId="19" xfId="0" applyNumberFormat="1" applyFont="1" applyFill="1" applyBorder="1" applyAlignment="1">
      <alignment horizontal="right"/>
    </xf>
    <xf numFmtId="169" fontId="2" fillId="0" borderId="21" xfId="0" applyNumberFormat="1" applyFont="1" applyFill="1" applyBorder="1" applyAlignment="1">
      <alignment horizontal="right"/>
    </xf>
    <xf numFmtId="0" fontId="0" fillId="0" borderId="47" xfId="0" applyFont="1" applyFill="1" applyBorder="1" applyAlignment="1">
      <alignment/>
    </xf>
    <xf numFmtId="169" fontId="2" fillId="0" borderId="24" xfId="0" applyNumberFormat="1" applyFont="1" applyFill="1" applyBorder="1" applyAlignment="1">
      <alignment/>
    </xf>
    <xf numFmtId="169" fontId="2" fillId="0" borderId="48" xfId="0" applyNumberFormat="1" applyFont="1" applyFill="1" applyBorder="1" applyAlignment="1">
      <alignment/>
    </xf>
    <xf numFmtId="0" fontId="2" fillId="0" borderId="19" xfId="0" applyFont="1" applyFill="1" applyBorder="1" applyAlignment="1">
      <alignment horizontal="right" vertical="center" wrapText="1"/>
    </xf>
    <xf numFmtId="0" fontId="2" fillId="0" borderId="10" xfId="0" applyFont="1" applyFill="1" applyBorder="1" applyAlignment="1">
      <alignment horizontal="center"/>
    </xf>
    <xf numFmtId="0" fontId="0" fillId="0" borderId="20" xfId="0" applyFont="1" applyFill="1" applyBorder="1" applyAlignment="1">
      <alignment/>
    </xf>
    <xf numFmtId="0" fontId="2" fillId="0" borderId="33" xfId="0" applyFont="1" applyFill="1" applyBorder="1" applyAlignment="1">
      <alignment/>
    </xf>
    <xf numFmtId="0" fontId="2" fillId="0" borderId="0" xfId="0" applyFont="1" applyFill="1" applyBorder="1" applyAlignment="1">
      <alignment/>
    </xf>
    <xf numFmtId="174" fontId="2" fillId="0" borderId="49" xfId="0" applyNumberFormat="1" applyFont="1" applyFill="1" applyBorder="1" applyAlignment="1">
      <alignment/>
    </xf>
    <xf numFmtId="174" fontId="2" fillId="0" borderId="0" xfId="0" applyNumberFormat="1" applyFont="1" applyFill="1" applyBorder="1" applyAlignment="1">
      <alignment/>
    </xf>
    <xf numFmtId="174" fontId="2" fillId="0" borderId="18" xfId="0" applyNumberFormat="1" applyFont="1" applyFill="1" applyBorder="1" applyAlignment="1">
      <alignment/>
    </xf>
    <xf numFmtId="0" fontId="0" fillId="0" borderId="19" xfId="0" applyFont="1" applyFill="1" applyBorder="1" applyAlignment="1">
      <alignment horizontal="right"/>
    </xf>
    <xf numFmtId="174" fontId="0" fillId="0" borderId="50" xfId="0" applyNumberFormat="1" applyFont="1" applyFill="1" applyBorder="1" applyAlignment="1">
      <alignment/>
    </xf>
    <xf numFmtId="174" fontId="0" fillId="0" borderId="49" xfId="0" applyNumberFormat="1" applyFont="1" applyFill="1" applyBorder="1" applyAlignment="1">
      <alignment/>
    </xf>
    <xf numFmtId="174" fontId="0" fillId="0" borderId="18" xfId="0" applyNumberFormat="1" applyFont="1" applyFill="1" applyBorder="1" applyAlignment="1">
      <alignment/>
    </xf>
    <xf numFmtId="0" fontId="0" fillId="0" borderId="0" xfId="0" applyFont="1" applyFill="1" applyBorder="1" applyAlignment="1">
      <alignment/>
    </xf>
    <xf numFmtId="174" fontId="0" fillId="0" borderId="37" xfId="0" applyNumberFormat="1" applyFont="1" applyFill="1" applyBorder="1" applyAlignment="1">
      <alignment/>
    </xf>
    <xf numFmtId="174" fontId="0" fillId="0" borderId="51" xfId="0" applyNumberFormat="1" applyFont="1" applyFill="1" applyBorder="1" applyAlignment="1">
      <alignment/>
    </xf>
    <xf numFmtId="0" fontId="0" fillId="0" borderId="0" xfId="42" applyNumberFormat="1" applyFont="1" applyFill="1" applyBorder="1" applyAlignment="1">
      <alignment/>
    </xf>
    <xf numFmtId="0" fontId="2" fillId="0" borderId="19" xfId="0" applyFont="1" applyFill="1" applyBorder="1" applyAlignment="1">
      <alignment horizontal="center"/>
    </xf>
    <xf numFmtId="0" fontId="0" fillId="0" borderId="21" xfId="0" applyFont="1" applyFill="1" applyBorder="1" applyAlignment="1">
      <alignment/>
    </xf>
    <xf numFmtId="0" fontId="2" fillId="0" borderId="21" xfId="0" applyFont="1" applyFill="1" applyBorder="1" applyAlignment="1">
      <alignment horizontal="right"/>
    </xf>
    <xf numFmtId="0" fontId="2" fillId="0" borderId="11" xfId="0" applyFont="1" applyFill="1" applyBorder="1" applyAlignment="1">
      <alignment horizontal="right"/>
    </xf>
    <xf numFmtId="174" fontId="2" fillId="0" borderId="11" xfId="0" applyNumberFormat="1" applyFont="1" applyFill="1" applyBorder="1" applyAlignment="1">
      <alignment/>
    </xf>
    <xf numFmtId="174" fontId="0" fillId="0" borderId="11" xfId="0" applyNumberFormat="1" applyFont="1" applyFill="1" applyBorder="1" applyAlignment="1">
      <alignment/>
    </xf>
    <xf numFmtId="0" fontId="2" fillId="0" borderId="20" xfId="0" applyFont="1" applyFill="1" applyBorder="1" applyAlignment="1">
      <alignment/>
    </xf>
    <xf numFmtId="0" fontId="2" fillId="0" borderId="24" xfId="0" applyFont="1" applyFill="1" applyBorder="1" applyAlignment="1">
      <alignment horizontal="center"/>
    </xf>
    <xf numFmtId="174" fontId="0" fillId="0" borderId="11" xfId="0" applyNumberFormat="1" applyFont="1" applyFill="1" applyBorder="1" applyAlignment="1">
      <alignment/>
    </xf>
    <xf numFmtId="174" fontId="0" fillId="0" borderId="11" xfId="0" applyNumberFormat="1" applyFont="1" applyFill="1" applyBorder="1" applyAlignment="1">
      <alignment/>
    </xf>
    <xf numFmtId="0" fontId="0" fillId="0" borderId="24" xfId="0" applyFont="1" applyFill="1" applyBorder="1" applyAlignment="1">
      <alignment/>
    </xf>
    <xf numFmtId="0" fontId="0" fillId="0" borderId="24" xfId="0" applyFont="1" applyFill="1" applyBorder="1" applyAlignment="1">
      <alignment/>
    </xf>
    <xf numFmtId="174" fontId="0" fillId="0" borderId="24" xfId="0" applyNumberFormat="1" applyFont="1" applyFill="1" applyBorder="1" applyAlignment="1">
      <alignment horizontal="right"/>
    </xf>
    <xf numFmtId="174" fontId="0" fillId="0" borderId="25" xfId="0" applyNumberFormat="1" applyFont="1" applyFill="1" applyBorder="1" applyAlignment="1">
      <alignment horizontal="right"/>
    </xf>
    <xf numFmtId="174" fontId="0" fillId="0" borderId="24" xfId="0" applyNumberFormat="1" applyFont="1" applyFill="1" applyBorder="1" applyAlignment="1">
      <alignment horizontal="right"/>
    </xf>
    <xf numFmtId="174" fontId="2" fillId="0" borderId="52" xfId="0" applyNumberFormat="1" applyFont="1" applyFill="1" applyBorder="1" applyAlignment="1">
      <alignment horizontal="right"/>
    </xf>
    <xf numFmtId="174" fontId="2" fillId="0" borderId="24" xfId="0" applyNumberFormat="1" applyFont="1" applyFill="1" applyBorder="1" applyAlignment="1">
      <alignment/>
    </xf>
    <xf numFmtId="174" fontId="2" fillId="0" borderId="52" xfId="0" applyNumberFormat="1" applyFont="1" applyFill="1" applyBorder="1" applyAlignment="1">
      <alignment horizontal="right"/>
    </xf>
    <xf numFmtId="174" fontId="2" fillId="0" borderId="24" xfId="0" applyNumberFormat="1" applyFont="1" applyFill="1" applyBorder="1" applyAlignment="1">
      <alignment horizontal="right"/>
    </xf>
    <xf numFmtId="174" fontId="2" fillId="0" borderId="25" xfId="0" applyNumberFormat="1" applyFont="1" applyFill="1" applyBorder="1" applyAlignment="1">
      <alignment horizontal="right"/>
    </xf>
    <xf numFmtId="174" fontId="2" fillId="0" borderId="24" xfId="0" applyNumberFormat="1" applyFont="1" applyFill="1" applyBorder="1" applyAlignment="1">
      <alignment horizontal="right"/>
    </xf>
    <xf numFmtId="174" fontId="2" fillId="0" borderId="28" xfId="0" applyNumberFormat="1" applyFont="1" applyFill="1" applyBorder="1" applyAlignment="1">
      <alignment/>
    </xf>
    <xf numFmtId="174" fontId="0" fillId="0" borderId="14" xfId="0" applyNumberFormat="1" applyFont="1" applyFill="1" applyBorder="1" applyAlignment="1">
      <alignment/>
    </xf>
    <xf numFmtId="0" fontId="2" fillId="0" borderId="24" xfId="0" applyFont="1" applyFill="1" applyBorder="1" applyAlignment="1">
      <alignment horizontal="right"/>
    </xf>
    <xf numFmtId="0" fontId="2" fillId="0" borderId="38" xfId="0" applyFont="1" applyFill="1" applyBorder="1" applyAlignment="1">
      <alignment horizontal="center"/>
    </xf>
    <xf numFmtId="0" fontId="2" fillId="0" borderId="38" xfId="0" applyFont="1" applyFill="1" applyBorder="1" applyAlignment="1">
      <alignment horizontal="right"/>
    </xf>
    <xf numFmtId="0" fontId="2" fillId="0" borderId="19" xfId="0" applyFont="1" applyFill="1" applyBorder="1" applyAlignment="1">
      <alignment horizontal="right"/>
    </xf>
    <xf numFmtId="0" fontId="2" fillId="0" borderId="41" xfId="0" applyFont="1" applyFill="1" applyBorder="1" applyAlignment="1">
      <alignment horizontal="right"/>
    </xf>
    <xf numFmtId="0" fontId="2" fillId="0" borderId="35" xfId="0" applyFont="1" applyFill="1" applyBorder="1" applyAlignment="1">
      <alignment horizontal="right"/>
    </xf>
    <xf numFmtId="0" fontId="2" fillId="0" borderId="35" xfId="0" applyFont="1" applyFill="1" applyBorder="1" applyAlignment="1">
      <alignment horizontal="center"/>
    </xf>
    <xf numFmtId="0" fontId="0" fillId="0" borderId="35" xfId="0" applyFont="1" applyFill="1" applyBorder="1" applyAlignment="1">
      <alignment/>
    </xf>
    <xf numFmtId="174" fontId="0" fillId="0" borderId="35" xfId="0" applyNumberFormat="1" applyFont="1" applyFill="1" applyBorder="1" applyAlignment="1">
      <alignment horizontal="right"/>
    </xf>
    <xf numFmtId="174" fontId="0" fillId="0" borderId="35" xfId="0" applyNumberFormat="1" applyFont="1" applyFill="1" applyBorder="1" applyAlignment="1">
      <alignment horizontal="right"/>
    </xf>
    <xf numFmtId="174" fontId="0" fillId="0" borderId="42" xfId="0" applyNumberFormat="1" applyFont="1" applyFill="1" applyBorder="1" applyAlignment="1">
      <alignment/>
    </xf>
    <xf numFmtId="174" fontId="2" fillId="0" borderId="53" xfId="0" applyNumberFormat="1" applyFont="1" applyFill="1" applyBorder="1" applyAlignment="1">
      <alignment horizontal="right"/>
    </xf>
    <xf numFmtId="174" fontId="2" fillId="0" borderId="35" xfId="0" applyNumberFormat="1" applyFont="1" applyFill="1" applyBorder="1" applyAlignment="1">
      <alignment/>
    </xf>
    <xf numFmtId="174" fontId="2" fillId="0" borderId="53" xfId="0" applyNumberFormat="1" applyFont="1" applyFill="1" applyBorder="1" applyAlignment="1">
      <alignment horizontal="right"/>
    </xf>
    <xf numFmtId="174" fontId="0" fillId="0" borderId="42" xfId="0" applyNumberFormat="1" applyFont="1" applyFill="1" applyBorder="1" applyAlignment="1">
      <alignment/>
    </xf>
    <xf numFmtId="174" fontId="2" fillId="0" borderId="35" xfId="0" applyNumberFormat="1" applyFont="1" applyFill="1" applyBorder="1" applyAlignment="1">
      <alignment horizontal="right"/>
    </xf>
    <xf numFmtId="174" fontId="2" fillId="0" borderId="42" xfId="0" applyNumberFormat="1" applyFont="1" applyFill="1" applyBorder="1" applyAlignment="1">
      <alignment horizontal="right"/>
    </xf>
    <xf numFmtId="174" fontId="2" fillId="0" borderId="35" xfId="0" applyNumberFormat="1" applyFont="1" applyFill="1" applyBorder="1" applyAlignment="1">
      <alignment horizontal="right"/>
    </xf>
    <xf numFmtId="174" fontId="2" fillId="0" borderId="54" xfId="0" applyNumberFormat="1" applyFont="1" applyFill="1" applyBorder="1" applyAlignment="1">
      <alignment/>
    </xf>
    <xf numFmtId="0" fontId="0" fillId="0" borderId="26" xfId="0" applyFont="1" applyFill="1" applyBorder="1" applyAlignment="1">
      <alignment horizontal="center"/>
    </xf>
    <xf numFmtId="0" fontId="0" fillId="0" borderId="22" xfId="0" applyFont="1" applyFill="1" applyBorder="1" applyAlignment="1">
      <alignment horizontal="justify"/>
    </xf>
    <xf numFmtId="0" fontId="0" fillId="0" borderId="13" xfId="0" applyFont="1" applyFill="1" applyBorder="1" applyAlignment="1">
      <alignment horizontal="justify"/>
    </xf>
    <xf numFmtId="176" fontId="2" fillId="0" borderId="20" xfId="0" applyNumberFormat="1" applyFont="1" applyFill="1" applyBorder="1" applyAlignment="1" quotePrefix="1">
      <alignment horizontal="left" wrapText="1"/>
    </xf>
    <xf numFmtId="0" fontId="2" fillId="0" borderId="22" xfId="0" applyFont="1" applyFill="1" applyBorder="1" applyAlignment="1">
      <alignment horizontal="justify"/>
    </xf>
    <xf numFmtId="0" fontId="0" fillId="0" borderId="27" xfId="0" applyFont="1" applyFill="1" applyBorder="1" applyAlignment="1">
      <alignment horizontal="justify"/>
    </xf>
    <xf numFmtId="0" fontId="2" fillId="0" borderId="12" xfId="0" applyFont="1" applyFill="1" applyBorder="1" applyAlignment="1">
      <alignment horizontal="right" wrapText="1"/>
    </xf>
    <xf numFmtId="0" fontId="2" fillId="0" borderId="21" xfId="0" applyFont="1" applyFill="1" applyBorder="1" applyAlignment="1">
      <alignment horizontal="right" wrapText="1"/>
    </xf>
    <xf numFmtId="0" fontId="2" fillId="0" borderId="12" xfId="0" applyFont="1" applyFill="1" applyBorder="1" applyAlignment="1">
      <alignment horizontal="right"/>
    </xf>
    <xf numFmtId="0" fontId="2" fillId="0" borderId="12" xfId="0" applyFont="1" applyFill="1" applyBorder="1" applyAlignment="1">
      <alignment horizontal="right" vertical="top" wrapText="1"/>
    </xf>
    <xf numFmtId="0" fontId="2" fillId="0" borderId="27" xfId="0" applyFont="1" applyFill="1" applyBorder="1" applyAlignment="1">
      <alignment horizontal="right" wrapText="1"/>
    </xf>
    <xf numFmtId="0" fontId="2" fillId="0" borderId="11" xfId="0" applyFont="1" applyFill="1" applyBorder="1" applyAlignment="1">
      <alignment horizontal="right" wrapText="1"/>
    </xf>
    <xf numFmtId="169" fontId="2" fillId="0" borderId="12" xfId="0" applyNumberFormat="1" applyFont="1" applyFill="1" applyBorder="1" applyAlignment="1">
      <alignment horizontal="right" wrapText="1"/>
    </xf>
    <xf numFmtId="169" fontId="2" fillId="0" borderId="21" xfId="0" applyNumberFormat="1" applyFont="1" applyFill="1" applyBorder="1" applyAlignment="1">
      <alignment horizontal="right" wrapText="1"/>
    </xf>
    <xf numFmtId="169" fontId="2" fillId="0" borderId="12" xfId="0" applyNumberFormat="1" applyFont="1" applyFill="1" applyBorder="1" applyAlignment="1">
      <alignment horizontal="right"/>
    </xf>
    <xf numFmtId="169" fontId="2" fillId="0" borderId="12" xfId="0" applyNumberFormat="1" applyFont="1" applyFill="1" applyBorder="1" applyAlignment="1">
      <alignment horizontal="right" vertical="top" wrapText="1"/>
    </xf>
    <xf numFmtId="169" fontId="2" fillId="0" borderId="27" xfId="0" applyNumberFormat="1" applyFont="1" applyFill="1" applyBorder="1" applyAlignment="1">
      <alignment horizontal="right" wrapText="1"/>
    </xf>
    <xf numFmtId="0" fontId="0" fillId="0" borderId="27" xfId="0" applyFont="1" applyFill="1" applyBorder="1" applyAlignment="1">
      <alignment/>
    </xf>
    <xf numFmtId="0" fontId="2" fillId="0" borderId="12" xfId="0" applyFont="1" applyFill="1" applyBorder="1" applyAlignment="1">
      <alignment horizontal="right"/>
    </xf>
    <xf numFmtId="0" fontId="2" fillId="0" borderId="21" xfId="0" applyFont="1" applyFill="1" applyBorder="1" applyAlignment="1">
      <alignment horizontal="right"/>
    </xf>
    <xf numFmtId="14" fontId="2" fillId="0" borderId="27" xfId="0" applyNumberFormat="1" applyFont="1" applyFill="1" applyBorder="1" applyAlignment="1" quotePrefix="1">
      <alignment horizontal="right"/>
    </xf>
    <xf numFmtId="14" fontId="2" fillId="0" borderId="11" xfId="0" applyNumberFormat="1" applyFont="1" applyFill="1" applyBorder="1" applyAlignment="1" quotePrefix="1">
      <alignment horizontal="right"/>
    </xf>
    <xf numFmtId="0" fontId="2" fillId="0" borderId="27" xfId="0" applyFont="1" applyFill="1" applyBorder="1" applyAlignment="1">
      <alignment horizontal="right"/>
    </xf>
    <xf numFmtId="0" fontId="2" fillId="0" borderId="11" xfId="0" applyFont="1" applyFill="1" applyBorder="1" applyAlignment="1">
      <alignment horizontal="right"/>
    </xf>
    <xf numFmtId="0" fontId="2" fillId="0" borderId="21" xfId="0" applyFont="1" applyFill="1" applyBorder="1" applyAlignment="1">
      <alignment horizontal="right"/>
    </xf>
    <xf numFmtId="1" fontId="0" fillId="0" borderId="38" xfId="58" applyNumberFormat="1" applyFont="1" applyFill="1" applyBorder="1" applyAlignment="1">
      <alignment horizontal="right"/>
      <protection/>
    </xf>
    <xf numFmtId="174" fontId="0" fillId="0" borderId="24" xfId="58" applyNumberFormat="1" applyFont="1" applyFill="1" applyBorder="1" applyAlignment="1">
      <alignment horizontal="right"/>
      <protection/>
    </xf>
    <xf numFmtId="174" fontId="0" fillId="0" borderId="0" xfId="0" applyNumberFormat="1" applyFont="1" applyFill="1" applyBorder="1" applyAlignment="1">
      <alignment/>
    </xf>
    <xf numFmtId="1" fontId="2" fillId="0" borderId="19" xfId="58" applyNumberFormat="1" applyFont="1" applyFill="1" applyBorder="1" applyAlignment="1">
      <alignment horizontal="right"/>
      <protection/>
    </xf>
    <xf numFmtId="174" fontId="2" fillId="0" borderId="18" xfId="58" applyNumberFormat="1" applyFont="1" applyFill="1" applyBorder="1" applyAlignment="1">
      <alignment horizontal="right"/>
      <protection/>
    </xf>
    <xf numFmtId="169" fontId="0" fillId="0" borderId="10" xfId="58" applyNumberFormat="1" applyFont="1" applyFill="1" applyBorder="1">
      <alignment/>
      <protection/>
    </xf>
    <xf numFmtId="174" fontId="0" fillId="0" borderId="24" xfId="58" applyNumberFormat="1" applyFont="1" applyFill="1" applyBorder="1" applyAlignment="1">
      <alignment horizontal="right"/>
      <protection/>
    </xf>
    <xf numFmtId="174" fontId="2" fillId="0" borderId="28" xfId="58" applyNumberFormat="1" applyFont="1" applyFill="1" applyBorder="1" applyAlignment="1">
      <alignment horizontal="right"/>
      <protection/>
    </xf>
    <xf numFmtId="174" fontId="2" fillId="0" borderId="24" xfId="58" applyNumberFormat="1" applyFont="1" applyFill="1" applyBorder="1" applyAlignment="1">
      <alignment horizontal="right"/>
      <protection/>
    </xf>
    <xf numFmtId="174" fontId="2" fillId="0" borderId="24" xfId="58" applyNumberFormat="1" applyFont="1" applyFill="1" applyBorder="1" applyAlignment="1">
      <alignment horizontal="right"/>
      <protection/>
    </xf>
    <xf numFmtId="174" fontId="0" fillId="0" borderId="24" xfId="58" applyNumberFormat="1" applyFont="1" applyFill="1" applyBorder="1" applyAlignment="1">
      <alignment horizontal="right"/>
      <protection/>
    </xf>
    <xf numFmtId="1" fontId="2" fillId="0" borderId="55" xfId="58" applyNumberFormat="1" applyFont="1" applyFill="1" applyBorder="1" applyAlignment="1">
      <alignment horizontal="right"/>
      <protection/>
    </xf>
    <xf numFmtId="1" fontId="2" fillId="0" borderId="38" xfId="58" applyNumberFormat="1" applyFont="1" applyFill="1" applyBorder="1" applyAlignment="1">
      <alignment horizontal="right"/>
      <protection/>
    </xf>
    <xf numFmtId="1" fontId="2" fillId="0" borderId="38" xfId="58" applyNumberFormat="1" applyFont="1" applyFill="1" applyBorder="1" applyAlignment="1">
      <alignment horizontal="right"/>
      <protection/>
    </xf>
    <xf numFmtId="1" fontId="2" fillId="0" borderId="21" xfId="58" applyNumberFormat="1" applyFont="1" applyFill="1" applyBorder="1" applyAlignment="1">
      <alignment horizontal="right"/>
      <protection/>
    </xf>
    <xf numFmtId="174" fontId="2" fillId="0" borderId="56" xfId="58" applyNumberFormat="1" applyFont="1" applyFill="1" applyBorder="1" applyAlignment="1">
      <alignment horizontal="right"/>
      <protection/>
    </xf>
    <xf numFmtId="174" fontId="2" fillId="0" borderId="57" xfId="58" applyNumberFormat="1" applyFont="1" applyFill="1" applyBorder="1" applyAlignment="1">
      <alignment horizontal="right"/>
      <protection/>
    </xf>
    <xf numFmtId="174" fontId="2" fillId="0" borderId="26" xfId="58" applyNumberFormat="1" applyFont="1" applyFill="1" applyBorder="1" applyAlignment="1">
      <alignment horizontal="right"/>
      <protection/>
    </xf>
    <xf numFmtId="174" fontId="2" fillId="0" borderId="10" xfId="58" applyNumberFormat="1" applyFont="1" applyFill="1" applyBorder="1" applyAlignment="1">
      <alignment horizontal="right"/>
      <protection/>
    </xf>
    <xf numFmtId="174" fontId="2" fillId="0" borderId="26" xfId="58" applyNumberFormat="1" applyFont="1" applyFill="1" applyBorder="1" applyAlignment="1">
      <alignment horizontal="right"/>
      <protection/>
    </xf>
    <xf numFmtId="174" fontId="2" fillId="0" borderId="16" xfId="58" applyNumberFormat="1" applyFont="1" applyFill="1" applyBorder="1" applyAlignment="1">
      <alignment horizontal="right"/>
      <protection/>
    </xf>
    <xf numFmtId="174" fontId="2" fillId="0" borderId="26" xfId="58" applyNumberFormat="1" applyFont="1" applyFill="1" applyBorder="1" applyAlignment="1">
      <alignment horizontal="left"/>
      <protection/>
    </xf>
    <xf numFmtId="174" fontId="2" fillId="0" borderId="11" xfId="58" applyNumberFormat="1" applyFont="1" applyFill="1" applyBorder="1" applyAlignment="1">
      <alignment horizontal="right"/>
      <protection/>
    </xf>
    <xf numFmtId="174" fontId="0" fillId="0" borderId="11" xfId="58" applyNumberFormat="1" applyFont="1" applyFill="1" applyBorder="1" applyAlignment="1">
      <alignment horizontal="right"/>
      <protection/>
    </xf>
    <xf numFmtId="174" fontId="0" fillId="0" borderId="56" xfId="58" applyNumberFormat="1" applyFont="1" applyFill="1" applyBorder="1" applyAlignment="1">
      <alignment horizontal="right"/>
      <protection/>
    </xf>
    <xf numFmtId="174" fontId="0" fillId="0" borderId="11" xfId="58" applyNumberFormat="1" applyFont="1" applyFill="1" applyBorder="1" applyAlignment="1">
      <alignment horizontal="right"/>
      <protection/>
    </xf>
    <xf numFmtId="174" fontId="0" fillId="0" borderId="56" xfId="58" applyNumberFormat="1" applyFont="1" applyFill="1" applyBorder="1" applyAlignment="1">
      <alignment horizontal="right"/>
      <protection/>
    </xf>
    <xf numFmtId="174" fontId="0" fillId="0" borderId="11" xfId="58" applyNumberFormat="1" applyFont="1" applyFill="1" applyBorder="1" applyAlignment="1">
      <alignment horizontal="right"/>
      <protection/>
    </xf>
    <xf numFmtId="174" fontId="2" fillId="0" borderId="48" xfId="58" applyNumberFormat="1" applyFont="1" applyFill="1" applyBorder="1" applyAlignment="1">
      <alignment horizontal="right"/>
      <protection/>
    </xf>
    <xf numFmtId="38" fontId="0" fillId="0" borderId="57" xfId="58" applyNumberFormat="1" applyFont="1" applyFill="1" applyBorder="1">
      <alignment/>
      <protection/>
    </xf>
    <xf numFmtId="38" fontId="0" fillId="0" borderId="26" xfId="58" applyNumberFormat="1" applyFont="1" applyFill="1" applyBorder="1">
      <alignment/>
      <protection/>
    </xf>
    <xf numFmtId="38" fontId="0" fillId="0" borderId="26" xfId="58" applyNumberFormat="1" applyFont="1" applyFill="1" applyBorder="1">
      <alignment/>
      <protection/>
    </xf>
    <xf numFmtId="169" fontId="0" fillId="0" borderId="16" xfId="58" applyNumberFormat="1" applyFont="1" applyFill="1" applyBorder="1">
      <alignment/>
      <protection/>
    </xf>
    <xf numFmtId="174" fontId="31" fillId="0" borderId="43" xfId="58" applyNumberFormat="1" applyFont="1" applyFill="1" applyBorder="1">
      <alignment/>
      <protection/>
    </xf>
    <xf numFmtId="174" fontId="0" fillId="0" borderId="43" xfId="0" applyNumberFormat="1" applyFont="1" applyFill="1" applyBorder="1" applyAlignment="1">
      <alignment/>
    </xf>
    <xf numFmtId="174" fontId="0" fillId="0" borderId="43" xfId="58" applyNumberFormat="1" applyFont="1" applyFill="1" applyBorder="1">
      <alignment/>
      <protection/>
    </xf>
    <xf numFmtId="174" fontId="0" fillId="0" borderId="43" xfId="58" applyNumberFormat="1" applyFont="1" applyFill="1" applyBorder="1">
      <alignment/>
      <protection/>
    </xf>
    <xf numFmtId="174" fontId="0" fillId="0" borderId="43" xfId="58" applyNumberFormat="1" applyFont="1" applyFill="1" applyBorder="1">
      <alignment/>
      <protection/>
    </xf>
    <xf numFmtId="174" fontId="0" fillId="0" borderId="25" xfId="58" applyNumberFormat="1" applyFont="1" applyFill="1" applyBorder="1" applyAlignment="1">
      <alignment horizontal="right"/>
      <protection/>
    </xf>
    <xf numFmtId="0" fontId="33" fillId="0" borderId="0" xfId="0" applyFont="1" applyFill="1" applyAlignment="1">
      <alignment/>
    </xf>
    <xf numFmtId="3" fontId="33" fillId="0" borderId="0" xfId="0" applyNumberFormat="1" applyFont="1" applyFill="1" applyAlignment="1">
      <alignment/>
    </xf>
    <xf numFmtId="3" fontId="2" fillId="0" borderId="19" xfId="0" applyNumberFormat="1" applyFont="1" applyFill="1" applyBorder="1" applyAlignment="1">
      <alignment horizontal="right"/>
    </xf>
    <xf numFmtId="1" fontId="2" fillId="0" borderId="0" xfId="0" applyNumberFormat="1" applyFont="1" applyFill="1" applyBorder="1" applyAlignment="1">
      <alignment horizontal="right"/>
    </xf>
    <xf numFmtId="3" fontId="2" fillId="0" borderId="10" xfId="0" applyNumberFormat="1" applyFont="1" applyFill="1" applyBorder="1" applyAlignment="1">
      <alignment horizontal="right"/>
    </xf>
    <xf numFmtId="9" fontId="0" fillId="0" borderId="24" xfId="62" applyFont="1" applyFill="1" applyBorder="1" applyAlignment="1">
      <alignment/>
    </xf>
    <xf numFmtId="9" fontId="0" fillId="0" borderId="24" xfId="62" applyFont="1" applyFill="1" applyBorder="1" applyAlignment="1">
      <alignment/>
    </xf>
    <xf numFmtId="3"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169" fontId="0" fillId="0" borderId="24" xfId="0" applyNumberFormat="1" applyFont="1" applyFill="1" applyBorder="1" applyAlignment="1">
      <alignment/>
    </xf>
    <xf numFmtId="3" fontId="0" fillId="0" borderId="10" xfId="0" applyNumberFormat="1" applyFont="1" applyFill="1" applyBorder="1" applyAlignment="1">
      <alignment/>
    </xf>
    <xf numFmtId="169" fontId="0" fillId="0" borderId="24" xfId="0" applyNumberFormat="1" applyFont="1" applyFill="1" applyBorder="1" applyAlignment="1">
      <alignment/>
    </xf>
    <xf numFmtId="3" fontId="2" fillId="0" borderId="20" xfId="0" applyNumberFormat="1" applyFont="1" applyFill="1" applyBorder="1" applyAlignment="1">
      <alignment horizontal="right"/>
    </xf>
    <xf numFmtId="1" fontId="2" fillId="0" borderId="22" xfId="0" applyNumberFormat="1" applyFont="1" applyFill="1" applyBorder="1" applyAlignment="1">
      <alignment horizontal="right"/>
    </xf>
    <xf numFmtId="1" fontId="2" fillId="0" borderId="11" xfId="0" applyNumberFormat="1" applyFont="1" applyFill="1" applyBorder="1" applyAlignment="1">
      <alignment horizontal="right"/>
    </xf>
    <xf numFmtId="3" fontId="2" fillId="0" borderId="23" xfId="0" applyNumberFormat="1" applyFont="1" applyFill="1" applyBorder="1" applyAlignment="1">
      <alignment horizontal="right"/>
    </xf>
    <xf numFmtId="3" fontId="0" fillId="0" borderId="26" xfId="0" applyNumberFormat="1" applyFont="1" applyFill="1" applyBorder="1" applyAlignment="1">
      <alignment/>
    </xf>
    <xf numFmtId="9" fontId="2" fillId="0" borderId="24" xfId="62" applyFont="1" applyFill="1" applyBorder="1" applyAlignment="1">
      <alignment/>
    </xf>
    <xf numFmtId="3" fontId="0" fillId="0" borderId="24" xfId="0" applyNumberFormat="1" applyFont="1" applyFill="1" applyBorder="1" applyAlignment="1">
      <alignment/>
    </xf>
    <xf numFmtId="3" fontId="0" fillId="0" borderId="0" xfId="0" applyNumberFormat="1" applyFont="1" applyFill="1" applyBorder="1" applyAlignment="1">
      <alignment/>
    </xf>
    <xf numFmtId="171" fontId="0" fillId="0" borderId="24" xfId="0" applyNumberFormat="1" applyFont="1" applyFill="1" applyBorder="1" applyAlignment="1">
      <alignment/>
    </xf>
    <xf numFmtId="0" fontId="2" fillId="0" borderId="16" xfId="0" applyFont="1" applyFill="1" applyBorder="1" applyAlignment="1">
      <alignment horizontal="right"/>
    </xf>
    <xf numFmtId="0" fontId="2" fillId="0" borderId="11" xfId="0" applyFont="1" applyFill="1" applyBorder="1" applyAlignment="1">
      <alignment/>
    </xf>
    <xf numFmtId="0" fontId="2" fillId="0" borderId="19" xfId="0" applyFont="1" applyBorder="1" applyAlignment="1">
      <alignment horizontal="right"/>
    </xf>
    <xf numFmtId="0" fontId="2" fillId="0" borderId="38" xfId="0" applyFont="1" applyBorder="1" applyAlignment="1">
      <alignment horizontal="right"/>
    </xf>
    <xf numFmtId="0" fontId="2" fillId="0" borderId="0" xfId="0" applyFont="1" applyBorder="1" applyAlignment="1">
      <alignment horizontal="right"/>
    </xf>
    <xf numFmtId="0" fontId="2" fillId="0" borderId="24" xfId="0" applyFont="1" applyBorder="1" applyAlignment="1">
      <alignment horizontal="right"/>
    </xf>
    <xf numFmtId="0" fontId="2" fillId="0" borderId="10" xfId="0" applyFont="1" applyBorder="1" applyAlignment="1">
      <alignment horizontal="right"/>
    </xf>
    <xf numFmtId="0" fontId="2" fillId="0" borderId="26" xfId="0" applyFont="1" applyBorder="1" applyAlignment="1">
      <alignment horizontal="right"/>
    </xf>
    <xf numFmtId="0" fontId="0" fillId="0" borderId="24" xfId="0" applyFont="1" applyBorder="1" applyAlignment="1">
      <alignment/>
    </xf>
    <xf numFmtId="0" fontId="0" fillId="0" borderId="24" xfId="0" applyFont="1" applyBorder="1" applyAlignment="1">
      <alignment horizontal="center"/>
    </xf>
    <xf numFmtId="9" fontId="0" fillId="0" borderId="24" xfId="62" applyFont="1" applyBorder="1" applyAlignment="1">
      <alignment horizontal="right"/>
    </xf>
    <xf numFmtId="0" fontId="0" fillId="0" borderId="11" xfId="0" applyFont="1" applyBorder="1" applyAlignment="1">
      <alignment/>
    </xf>
    <xf numFmtId="171" fontId="0" fillId="0" borderId="24" xfId="0" applyNumberFormat="1" applyFont="1" applyBorder="1" applyAlignment="1">
      <alignment horizontal="center"/>
    </xf>
    <xf numFmtId="169" fontId="2" fillId="0" borderId="28" xfId="0" applyNumberFormat="1" applyFont="1" applyBorder="1" applyAlignment="1">
      <alignment/>
    </xf>
    <xf numFmtId="0" fontId="2" fillId="0" borderId="22" xfId="0" applyFont="1" applyBorder="1" applyAlignment="1">
      <alignment/>
    </xf>
    <xf numFmtId="0" fontId="0" fillId="0" borderId="22" xfId="0" applyFont="1" applyBorder="1" applyAlignment="1">
      <alignment horizontal="right"/>
    </xf>
    <xf numFmtId="0" fontId="2" fillId="0" borderId="22" xfId="0" applyFont="1" applyBorder="1" applyAlignment="1">
      <alignment/>
    </xf>
    <xf numFmtId="0" fontId="0" fillId="0" borderId="23" xfId="0" applyFont="1" applyBorder="1" applyAlignment="1">
      <alignment/>
    </xf>
    <xf numFmtId="169" fontId="2" fillId="0" borderId="58" xfId="0" applyNumberFormat="1" applyFont="1" applyBorder="1" applyAlignment="1">
      <alignment/>
    </xf>
    <xf numFmtId="0" fontId="0" fillId="0" borderId="16" xfId="0" applyFont="1" applyBorder="1" applyAlignment="1">
      <alignment/>
    </xf>
    <xf numFmtId="169" fontId="2" fillId="0" borderId="59" xfId="0" applyNumberFormat="1" applyFont="1" applyBorder="1" applyAlignment="1">
      <alignment/>
    </xf>
    <xf numFmtId="0" fontId="0" fillId="0" borderId="37" xfId="0" applyFont="1" applyBorder="1" applyAlignment="1">
      <alignment/>
    </xf>
    <xf numFmtId="169" fontId="0" fillId="0" borderId="37" xfId="0" applyNumberFormat="1" applyFont="1" applyBorder="1" applyAlignment="1">
      <alignment/>
    </xf>
    <xf numFmtId="3" fontId="0" fillId="0" borderId="37" xfId="0" applyNumberFormat="1" applyFont="1" applyBorder="1" applyAlignment="1">
      <alignment/>
    </xf>
    <xf numFmtId="169" fontId="2" fillId="0" borderId="45" xfId="0" applyNumberFormat="1" applyFont="1" applyBorder="1" applyAlignment="1">
      <alignment/>
    </xf>
    <xf numFmtId="3" fontId="0" fillId="0" borderId="26" xfId="0" applyNumberFormat="1" applyFont="1" applyBorder="1" applyAlignment="1">
      <alignment/>
    </xf>
    <xf numFmtId="0" fontId="0" fillId="0" borderId="40" xfId="0" applyFont="1" applyBorder="1" applyAlignment="1">
      <alignment/>
    </xf>
    <xf numFmtId="0" fontId="0" fillId="0" borderId="26" xfId="0" applyFont="1" applyBorder="1" applyAlignment="1">
      <alignment horizontal="center"/>
    </xf>
    <xf numFmtId="14" fontId="0" fillId="0" borderId="0" xfId="0" applyNumberFormat="1" applyFont="1" applyFill="1" applyBorder="1" applyAlignment="1" quotePrefix="1">
      <alignment horizontal="right"/>
    </xf>
    <xf numFmtId="174" fontId="0" fillId="0" borderId="0" xfId="42" applyNumberFormat="1" applyFont="1" applyAlignment="1">
      <alignment/>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180" fontId="2" fillId="0" borderId="61" xfId="42" applyNumberFormat="1" applyFont="1" applyFill="1" applyBorder="1" applyAlignment="1" quotePrefix="1">
      <alignment horizontal="center" vertical="center" wrapText="1"/>
    </xf>
    <xf numFmtId="174" fontId="0" fillId="0" borderId="0" xfId="42" applyNumberFormat="1" applyFont="1" applyAlignment="1">
      <alignment horizontal="center" vertical="center"/>
    </xf>
    <xf numFmtId="0" fontId="0" fillId="0" borderId="0" xfId="0" applyFont="1" applyAlignment="1">
      <alignment horizontal="center" vertical="center"/>
    </xf>
    <xf numFmtId="0" fontId="0" fillId="0" borderId="62" xfId="0" applyFont="1" applyFill="1" applyBorder="1" applyAlignment="1">
      <alignment horizontal="left" vertical="center" wrapText="1"/>
    </xf>
    <xf numFmtId="0" fontId="0" fillId="0" borderId="25" xfId="0" applyFont="1" applyFill="1" applyBorder="1" applyAlignment="1">
      <alignment horizontal="left" vertical="center" wrapText="1"/>
    </xf>
    <xf numFmtId="174" fontId="0" fillId="0" borderId="63" xfId="42" applyNumberFormat="1" applyFont="1" applyFill="1" applyBorder="1" applyAlignment="1">
      <alignment vertical="center" wrapText="1"/>
    </xf>
    <xf numFmtId="174" fontId="0" fillId="0" borderId="0" xfId="42" applyNumberFormat="1" applyFont="1" applyAlignment="1">
      <alignment vertical="center"/>
    </xf>
    <xf numFmtId="0" fontId="0" fillId="0" borderId="0" xfId="0" applyFont="1" applyAlignment="1">
      <alignment vertical="center"/>
    </xf>
    <xf numFmtId="0" fontId="0" fillId="0" borderId="64" xfId="0" applyFont="1" applyFill="1" applyBorder="1" applyAlignment="1">
      <alignment horizontal="left" vertical="center" wrapText="1"/>
    </xf>
    <xf numFmtId="0" fontId="0" fillId="0" borderId="63" xfId="0" applyFont="1" applyFill="1" applyBorder="1" applyAlignment="1">
      <alignment horizontal="left" vertical="center" wrapText="1"/>
    </xf>
    <xf numFmtId="174" fontId="0" fillId="0" borderId="63" xfId="42" applyNumberFormat="1" applyFont="1" applyFill="1" applyBorder="1" applyAlignment="1">
      <alignment horizontal="left" vertical="center" wrapText="1"/>
    </xf>
    <xf numFmtId="174" fontId="0" fillId="0" borderId="65" xfId="42" applyNumberFormat="1" applyFont="1" applyFill="1" applyBorder="1" applyAlignment="1">
      <alignment horizontal="left" vertical="center" wrapText="1"/>
    </xf>
    <xf numFmtId="174" fontId="0" fillId="0" borderId="0" xfId="42" applyNumberFormat="1" applyFont="1" applyAlignment="1">
      <alignment horizontal="left" vertical="center"/>
    </xf>
    <xf numFmtId="0" fontId="0" fillId="0" borderId="0" xfId="0" applyFont="1" applyAlignment="1">
      <alignment horizontal="left" vertical="center"/>
    </xf>
    <xf numFmtId="0" fontId="2" fillId="0" borderId="48" xfId="0" applyFont="1" applyFill="1" applyBorder="1" applyAlignment="1">
      <alignment horizontal="left" vertical="top" wrapText="1"/>
    </xf>
    <xf numFmtId="0" fontId="2" fillId="0" borderId="28" xfId="0" applyFont="1" applyFill="1" applyBorder="1" applyAlignment="1">
      <alignment horizontal="left" vertical="top" wrapText="1"/>
    </xf>
    <xf numFmtId="174" fontId="2" fillId="0" borderId="28" xfId="42" applyNumberFormat="1" applyFont="1" applyFill="1" applyBorder="1" applyAlignment="1">
      <alignment vertical="top" wrapText="1"/>
    </xf>
    <xf numFmtId="174" fontId="2" fillId="0" borderId="0" xfId="42" applyNumberFormat="1" applyFont="1" applyAlignment="1">
      <alignment/>
    </xf>
    <xf numFmtId="0" fontId="0" fillId="0" borderId="23" xfId="0" applyFont="1" applyBorder="1" applyAlignment="1">
      <alignment horizontal="left"/>
    </xf>
    <xf numFmtId="174" fontId="0" fillId="0" borderId="10" xfId="42" applyNumberFormat="1" applyFont="1" applyBorder="1" applyAlignment="1">
      <alignment/>
    </xf>
    <xf numFmtId="174" fontId="0" fillId="0" borderId="16" xfId="42" applyNumberFormat="1" applyFont="1" applyBorder="1" applyAlignment="1">
      <alignment/>
    </xf>
    <xf numFmtId="0" fontId="0" fillId="0" borderId="0" xfId="0" applyFont="1" applyAlignment="1">
      <alignment horizontal="left"/>
    </xf>
    <xf numFmtId="169" fontId="0" fillId="0" borderId="24" xfId="42" applyNumberFormat="1" applyFont="1" applyBorder="1" applyAlignment="1">
      <alignment/>
    </xf>
    <xf numFmtId="169" fontId="2" fillId="0" borderId="48" xfId="0" applyNumberFormat="1" applyFont="1" applyFill="1" applyBorder="1" applyAlignment="1">
      <alignment/>
    </xf>
    <xf numFmtId="0" fontId="0" fillId="0" borderId="0" xfId="0" applyFill="1" applyAlignment="1">
      <alignment/>
    </xf>
    <xf numFmtId="176" fontId="2" fillId="0" borderId="12" xfId="0" applyNumberFormat="1" applyFont="1" applyFill="1" applyBorder="1" applyAlignment="1" quotePrefix="1">
      <alignment horizontal="left" wrapText="1"/>
    </xf>
    <xf numFmtId="0" fontId="2" fillId="0" borderId="27" xfId="0" applyFont="1" applyFill="1" applyBorder="1" applyAlignment="1">
      <alignment/>
    </xf>
    <xf numFmtId="174" fontId="2" fillId="0" borderId="0" xfId="42" applyNumberFormat="1" applyFont="1" applyFill="1" applyAlignment="1">
      <alignment/>
    </xf>
    <xf numFmtId="174" fontId="2" fillId="0" borderId="0" xfId="42" applyNumberFormat="1" applyFont="1" applyFill="1" applyAlignment="1">
      <alignment horizontal="center" vertical="center" wrapText="1"/>
    </xf>
    <xf numFmtId="174" fontId="2" fillId="0" borderId="0" xfId="42" applyNumberFormat="1" applyFont="1" applyFill="1" applyAlignment="1">
      <alignment horizontal="center"/>
    </xf>
    <xf numFmtId="171" fontId="49" fillId="0" borderId="0" xfId="53" applyNumberFormat="1" applyFill="1" applyAlignment="1" applyProtection="1">
      <alignment/>
      <protection/>
    </xf>
    <xf numFmtId="0" fontId="0" fillId="0" borderId="0" xfId="0" applyFont="1" applyAlignment="1">
      <alignment wrapText="1"/>
    </xf>
    <xf numFmtId="0" fontId="34" fillId="0" borderId="0" xfId="0" applyFont="1" applyAlignment="1">
      <alignment/>
    </xf>
    <xf numFmtId="169" fontId="0" fillId="0" borderId="0" xfId="42" applyNumberFormat="1" applyFont="1" applyAlignment="1">
      <alignment/>
    </xf>
    <xf numFmtId="169" fontId="0" fillId="0" borderId="0" xfId="42" applyNumberFormat="1" applyFont="1" applyAlignment="1">
      <alignment/>
    </xf>
    <xf numFmtId="169" fontId="0" fillId="0" borderId="0" xfId="42" applyNumberFormat="1" applyFont="1" applyAlignment="1">
      <alignment/>
    </xf>
    <xf numFmtId="169" fontId="34" fillId="0" borderId="0" xfId="42" applyNumberFormat="1" applyFont="1" applyAlignment="1">
      <alignment/>
    </xf>
    <xf numFmtId="169" fontId="34" fillId="0" borderId="0" xfId="42" applyNumberFormat="1" applyFont="1" applyAlignment="1">
      <alignment/>
    </xf>
    <xf numFmtId="169" fontId="0" fillId="0" borderId="0" xfId="0" applyNumberFormat="1" applyFont="1" applyAlignment="1">
      <alignment/>
    </xf>
    <xf numFmtId="0" fontId="0" fillId="24" borderId="0" xfId="0" applyFont="1" applyFill="1" applyAlignment="1">
      <alignment/>
    </xf>
    <xf numFmtId="0" fontId="20" fillId="0" borderId="0" xfId="0" applyFont="1" applyFill="1" applyAlignment="1">
      <alignment/>
    </xf>
    <xf numFmtId="171" fontId="20" fillId="0" borderId="0" xfId="42" applyFont="1" applyFill="1" applyAlignment="1">
      <alignment/>
    </xf>
    <xf numFmtId="169" fontId="20" fillId="0" borderId="0" xfId="42" applyNumberFormat="1" applyFont="1" applyFill="1" applyAlignment="1">
      <alignment/>
    </xf>
    <xf numFmtId="174" fontId="20" fillId="0" borderId="0" xfId="0" applyNumberFormat="1" applyFont="1" applyFill="1" applyAlignment="1">
      <alignment/>
    </xf>
    <xf numFmtId="0" fontId="37" fillId="0" borderId="0" xfId="0" applyFont="1" applyFill="1" applyAlignment="1">
      <alignment/>
    </xf>
    <xf numFmtId="169" fontId="20" fillId="0" borderId="0" xfId="0" applyNumberFormat="1" applyFont="1" applyFill="1" applyAlignment="1">
      <alignment/>
    </xf>
    <xf numFmtId="171" fontId="37" fillId="0" borderId="0" xfId="42" applyFont="1" applyFill="1" applyAlignment="1">
      <alignment/>
    </xf>
    <xf numFmtId="169" fontId="38" fillId="0" borderId="0" xfId="0" applyNumberFormat="1" applyFont="1" applyFill="1" applyAlignment="1">
      <alignment/>
    </xf>
    <xf numFmtId="171" fontId="38" fillId="0" borderId="0" xfId="42" applyFont="1" applyFill="1" applyAlignment="1">
      <alignment/>
    </xf>
    <xf numFmtId="174" fontId="20" fillId="0" borderId="0" xfId="0" applyNumberFormat="1" applyFont="1" applyFill="1" applyAlignment="1">
      <alignment horizontal="left"/>
    </xf>
    <xf numFmtId="0" fontId="2" fillId="0" borderId="66" xfId="0" applyFont="1" applyFill="1" applyBorder="1" applyAlignment="1">
      <alignment horizontal="right" vertical="center" wrapText="1"/>
    </xf>
    <xf numFmtId="169" fontId="2" fillId="0" borderId="66" xfId="0" applyNumberFormat="1" applyFont="1" applyFill="1" applyBorder="1" applyAlignment="1">
      <alignment horizontal="right"/>
    </xf>
    <xf numFmtId="0" fontId="0" fillId="0" borderId="67" xfId="0" applyFont="1" applyFill="1" applyBorder="1" applyAlignment="1">
      <alignment/>
    </xf>
    <xf numFmtId="0" fontId="2" fillId="0" borderId="20" xfId="0" applyFont="1" applyFill="1" applyBorder="1" applyAlignment="1">
      <alignment vertical="center" wrapText="1"/>
    </xf>
    <xf numFmtId="0" fontId="2" fillId="0" borderId="23" xfId="0" applyFont="1" applyFill="1" applyBorder="1" applyAlignment="1">
      <alignment vertical="center" wrapText="1"/>
    </xf>
    <xf numFmtId="0" fontId="2" fillId="0" borderId="38" xfId="0" applyFont="1" applyFill="1" applyBorder="1" applyAlignment="1">
      <alignment horizontal="center" vertical="center" wrapText="1"/>
    </xf>
    <xf numFmtId="169" fontId="2" fillId="0" borderId="63" xfId="0" applyNumberFormat="1" applyFont="1" applyFill="1" applyBorder="1" applyAlignment="1">
      <alignment/>
    </xf>
    <xf numFmtId="169" fontId="0" fillId="0" borderId="26" xfId="0" applyNumberFormat="1" applyFont="1" applyFill="1" applyBorder="1" applyAlignment="1">
      <alignment/>
    </xf>
    <xf numFmtId="169" fontId="0" fillId="0" borderId="67" xfId="0" applyNumberFormat="1" applyFont="1" applyFill="1" applyBorder="1" applyAlignment="1">
      <alignment/>
    </xf>
    <xf numFmtId="174" fontId="34" fillId="0" borderId="24" xfId="0" applyNumberFormat="1" applyFont="1" applyFill="1" applyBorder="1" applyAlignment="1">
      <alignment/>
    </xf>
    <xf numFmtId="38" fontId="0" fillId="0" borderId="56" xfId="58" applyNumberFormat="1" applyFont="1" applyBorder="1" applyAlignment="1">
      <alignment horizontal="right"/>
      <protection/>
    </xf>
    <xf numFmtId="38" fontId="0" fillId="0" borderId="43" xfId="58" applyNumberFormat="1" applyFont="1" applyBorder="1" applyAlignment="1">
      <alignment horizontal="right"/>
      <protection/>
    </xf>
    <xf numFmtId="38" fontId="0" fillId="0" borderId="24" xfId="58" applyNumberFormat="1" applyFont="1" applyBorder="1" applyAlignment="1">
      <alignment horizontal="right"/>
      <protection/>
    </xf>
    <xf numFmtId="0" fontId="0" fillId="0" borderId="68" xfId="0" applyFont="1" applyFill="1" applyBorder="1" applyAlignment="1">
      <alignment horizontal="left" vertical="center" wrapText="1"/>
    </xf>
    <xf numFmtId="0" fontId="0" fillId="0" borderId="29" xfId="0" applyFont="1" applyFill="1" applyBorder="1" applyAlignment="1">
      <alignment horizontal="left" vertical="center" wrapText="1"/>
    </xf>
    <xf numFmtId="174" fontId="0" fillId="0" borderId="29" xfId="42" applyNumberFormat="1" applyFont="1" applyFill="1" applyBorder="1" applyAlignment="1">
      <alignment horizontal="left" vertical="center" wrapText="1"/>
    </xf>
    <xf numFmtId="174" fontId="0" fillId="0" borderId="29" xfId="42" applyNumberFormat="1" applyFont="1" applyFill="1" applyBorder="1" applyAlignment="1">
      <alignment vertical="center" wrapText="1"/>
    </xf>
    <xf numFmtId="174" fontId="0" fillId="0" borderId="36" xfId="42" applyNumberFormat="1" applyFont="1" applyFill="1" applyBorder="1" applyAlignment="1">
      <alignment horizontal="left" vertical="center" wrapText="1"/>
    </xf>
    <xf numFmtId="174" fontId="0" fillId="0" borderId="42" xfId="0" applyNumberFormat="1" applyFont="1" applyFill="1" applyBorder="1" applyAlignment="1">
      <alignment horizontal="right"/>
    </xf>
    <xf numFmtId="0" fontId="23" fillId="0" borderId="55" xfId="0" applyFont="1" applyFill="1" applyBorder="1" applyAlignment="1">
      <alignment horizontal="center" vertical="center" wrapText="1"/>
    </xf>
    <xf numFmtId="0" fontId="23" fillId="0" borderId="57" xfId="0" applyFont="1" applyFill="1" applyBorder="1" applyAlignment="1">
      <alignment vertical="center" wrapText="1"/>
    </xf>
    <xf numFmtId="174" fontId="23" fillId="0" borderId="69" xfId="0" applyNumberFormat="1" applyFont="1" applyFill="1" applyBorder="1" applyAlignment="1">
      <alignment vertical="center" wrapText="1"/>
    </xf>
    <xf numFmtId="174" fontId="23" fillId="0" borderId="70" xfId="0" applyNumberFormat="1" applyFont="1" applyFill="1" applyBorder="1" applyAlignment="1">
      <alignment vertical="center" wrapText="1"/>
    </xf>
    <xf numFmtId="0" fontId="23" fillId="0" borderId="22" xfId="0" applyFont="1" applyFill="1" applyBorder="1" applyAlignment="1">
      <alignment vertical="center" wrapText="1"/>
    </xf>
    <xf numFmtId="174" fontId="23" fillId="0" borderId="24" xfId="0" applyNumberFormat="1" applyFont="1" applyFill="1" applyBorder="1" applyAlignment="1">
      <alignment vertical="center" wrapText="1"/>
    </xf>
    <xf numFmtId="174" fontId="23" fillId="0" borderId="0" xfId="0" applyNumberFormat="1" applyFont="1" applyFill="1" applyBorder="1" applyAlignment="1">
      <alignment vertical="center" wrapText="1"/>
    </xf>
    <xf numFmtId="174" fontId="20" fillId="0" borderId="11" xfId="0" applyNumberFormat="1" applyFont="1" applyFill="1" applyBorder="1" applyAlignment="1">
      <alignment horizontal="center" vertical="center" wrapText="1"/>
    </xf>
    <xf numFmtId="0" fontId="23" fillId="0" borderId="56" xfId="0" applyFont="1" applyFill="1" applyBorder="1" applyAlignment="1">
      <alignment/>
    </xf>
    <xf numFmtId="174" fontId="20" fillId="0" borderId="24" xfId="0" applyNumberFormat="1" applyFont="1" applyFill="1" applyBorder="1" applyAlignment="1">
      <alignment/>
    </xf>
    <xf numFmtId="174" fontId="20" fillId="0" borderId="0" xfId="0" applyNumberFormat="1" applyFont="1" applyFill="1" applyBorder="1" applyAlignment="1">
      <alignment/>
    </xf>
    <xf numFmtId="174" fontId="20" fillId="0" borderId="35" xfId="0" applyNumberFormat="1" applyFont="1" applyFill="1" applyBorder="1" applyAlignment="1">
      <alignment/>
    </xf>
    <xf numFmtId="0" fontId="20" fillId="0" borderId="56" xfId="0" applyFont="1" applyFill="1" applyBorder="1" applyAlignment="1">
      <alignment/>
    </xf>
    <xf numFmtId="174" fontId="20" fillId="0" borderId="37" xfId="0" applyNumberFormat="1" applyFont="1" applyFill="1" applyBorder="1" applyAlignment="1">
      <alignment/>
    </xf>
    <xf numFmtId="0" fontId="20" fillId="0" borderId="56" xfId="0" applyFont="1" applyFill="1" applyBorder="1" applyAlignment="1">
      <alignment horizontal="right"/>
    </xf>
    <xf numFmtId="174" fontId="23" fillId="0" borderId="54" xfId="0" applyNumberFormat="1" applyFont="1" applyFill="1" applyBorder="1" applyAlignment="1">
      <alignment/>
    </xf>
    <xf numFmtId="0" fontId="23" fillId="0" borderId="56" xfId="0" applyFont="1" applyFill="1" applyBorder="1" applyAlignment="1">
      <alignment horizontal="right"/>
    </xf>
    <xf numFmtId="174" fontId="20" fillId="0" borderId="25" xfId="0" applyNumberFormat="1" applyFont="1" applyFill="1" applyBorder="1" applyAlignment="1">
      <alignment/>
    </xf>
    <xf numFmtId="0" fontId="39" fillId="0" borderId="0" xfId="0" applyFont="1" applyFill="1" applyAlignment="1">
      <alignment horizontal="center" wrapText="1"/>
    </xf>
    <xf numFmtId="171" fontId="43" fillId="0" borderId="0" xfId="42" applyFont="1" applyFill="1" applyAlignment="1">
      <alignment/>
    </xf>
    <xf numFmtId="171" fontId="25" fillId="0" borderId="0" xfId="42" applyFont="1" applyFill="1" applyAlignment="1">
      <alignment/>
    </xf>
    <xf numFmtId="0" fontId="25" fillId="0" borderId="0" xfId="0" applyFont="1" applyFill="1" applyAlignment="1">
      <alignment/>
    </xf>
    <xf numFmtId="171" fontId="43" fillId="0" borderId="0" xfId="42" applyFont="1" applyFill="1" applyAlignment="1">
      <alignment horizontal="center" wrapText="1"/>
    </xf>
    <xf numFmtId="0" fontId="39" fillId="0" borderId="0" xfId="0" applyFont="1" applyFill="1" applyAlignment="1">
      <alignment horizontal="center"/>
    </xf>
    <xf numFmtId="0" fontId="39" fillId="0" borderId="0" xfId="0" applyFont="1" applyFill="1" applyAlignment="1">
      <alignment horizontal="right" wrapText="1"/>
    </xf>
    <xf numFmtId="0" fontId="39" fillId="0" borderId="0" xfId="0" applyFont="1" applyFill="1" applyAlignment="1">
      <alignment horizontal="right" vertical="top"/>
    </xf>
    <xf numFmtId="0" fontId="25" fillId="0" borderId="0" xfId="0" applyFont="1" applyFill="1" applyAlignment="1">
      <alignment horizontal="left" vertical="top"/>
    </xf>
    <xf numFmtId="0" fontId="39" fillId="0" borderId="0" xfId="0" applyFont="1" applyFill="1" applyAlignment="1">
      <alignment/>
    </xf>
    <xf numFmtId="0" fontId="39" fillId="0" borderId="0" xfId="0" applyNumberFormat="1" applyFont="1" applyFill="1" applyAlignment="1">
      <alignment horizontal="right"/>
    </xf>
    <xf numFmtId="0" fontId="39" fillId="0" borderId="0" xfId="0" applyNumberFormat="1" applyFont="1" applyFill="1" applyBorder="1" applyAlignment="1">
      <alignment horizontal="right"/>
    </xf>
    <xf numFmtId="0" fontId="39" fillId="0" borderId="10" xfId="0" applyFont="1" applyFill="1" applyBorder="1" applyAlignment="1">
      <alignment horizontal="right" vertical="top"/>
    </xf>
    <xf numFmtId="0" fontId="25" fillId="0" borderId="10" xfId="0" applyFont="1" applyFill="1" applyBorder="1" applyAlignment="1">
      <alignment horizontal="left" vertical="top"/>
    </xf>
    <xf numFmtId="0" fontId="25" fillId="0" borderId="10" xfId="0" applyFont="1" applyFill="1" applyBorder="1" applyAlignment="1">
      <alignment/>
    </xf>
    <xf numFmtId="0" fontId="39" fillId="0" borderId="10" xfId="0" applyFont="1" applyFill="1" applyBorder="1" applyAlignment="1">
      <alignment/>
    </xf>
    <xf numFmtId="174" fontId="39" fillId="0" borderId="10" xfId="42" applyNumberFormat="1" applyFont="1" applyFill="1" applyBorder="1" applyAlignment="1">
      <alignment horizontal="right"/>
    </xf>
    <xf numFmtId="0" fontId="25" fillId="0" borderId="0" xfId="0" applyFont="1" applyFill="1" applyBorder="1" applyAlignment="1">
      <alignment horizontal="right"/>
    </xf>
    <xf numFmtId="0" fontId="39" fillId="0" borderId="0" xfId="0" applyFont="1" applyFill="1" applyBorder="1" applyAlignment="1">
      <alignment horizontal="right" vertical="top"/>
    </xf>
    <xf numFmtId="0" fontId="25" fillId="0" borderId="0" xfId="0" applyFont="1" applyFill="1" applyBorder="1" applyAlignment="1">
      <alignment horizontal="left" vertical="top"/>
    </xf>
    <xf numFmtId="0" fontId="25" fillId="0" borderId="0" xfId="0" applyFont="1" applyFill="1" applyBorder="1" applyAlignment="1">
      <alignment/>
    </xf>
    <xf numFmtId="0" fontId="39" fillId="0" borderId="0" xfId="0" applyFont="1" applyFill="1" applyBorder="1" applyAlignment="1">
      <alignment/>
    </xf>
    <xf numFmtId="174" fontId="39" fillId="0" borderId="0" xfId="42" applyNumberFormat="1" applyFont="1" applyFill="1" applyBorder="1" applyAlignment="1">
      <alignment horizontal="right"/>
    </xf>
    <xf numFmtId="169" fontId="39" fillId="0" borderId="0" xfId="0" applyNumberFormat="1" applyFont="1" applyFill="1" applyBorder="1" applyAlignment="1">
      <alignment horizontal="right"/>
    </xf>
    <xf numFmtId="0" fontId="39" fillId="0" borderId="0" xfId="0" applyFont="1" applyFill="1" applyAlignment="1">
      <alignment horizontal="left" vertical="top"/>
    </xf>
    <xf numFmtId="174" fontId="39" fillId="0" borderId="0" xfId="42" applyNumberFormat="1" applyFont="1" applyFill="1" applyAlignment="1">
      <alignment/>
    </xf>
    <xf numFmtId="169" fontId="39" fillId="0" borderId="0" xfId="0" applyNumberFormat="1" applyFont="1" applyFill="1" applyAlignment="1">
      <alignment/>
    </xf>
    <xf numFmtId="174" fontId="25" fillId="0" borderId="0" xfId="42" applyNumberFormat="1" applyFont="1" applyFill="1" applyAlignment="1">
      <alignment/>
    </xf>
    <xf numFmtId="169" fontId="25" fillId="0" borderId="0" xfId="0" applyNumberFormat="1" applyFont="1" applyFill="1" applyAlignment="1">
      <alignment/>
    </xf>
    <xf numFmtId="169" fontId="39" fillId="0" borderId="0" xfId="0" applyNumberFormat="1" applyFont="1" applyFill="1" applyAlignment="1">
      <alignment horizontal="right" vertical="top"/>
    </xf>
    <xf numFmtId="169" fontId="25" fillId="0" borderId="0" xfId="0" applyNumberFormat="1" applyFont="1" applyFill="1" applyAlignment="1">
      <alignment horizontal="left" vertical="top"/>
    </xf>
    <xf numFmtId="169" fontId="39" fillId="0" borderId="0" xfId="0" applyNumberFormat="1" applyFont="1" applyFill="1" applyAlignment="1">
      <alignment horizontal="left" vertical="top"/>
    </xf>
    <xf numFmtId="174" fontId="25" fillId="0" borderId="0" xfId="42" applyNumberFormat="1" applyFont="1" applyFill="1" applyAlignment="1">
      <alignment horizontal="left" vertical="top"/>
    </xf>
    <xf numFmtId="169" fontId="25" fillId="0" borderId="0" xfId="0" applyNumberFormat="1" applyFont="1" applyFill="1" applyBorder="1" applyAlignment="1">
      <alignment horizontal="left" vertical="top"/>
    </xf>
    <xf numFmtId="174" fontId="25" fillId="0" borderId="0" xfId="0" applyNumberFormat="1" applyFont="1" applyFill="1" applyAlignment="1">
      <alignment horizontal="left" vertical="top"/>
    </xf>
    <xf numFmtId="0" fontId="50" fillId="0" borderId="0" xfId="53" applyFont="1" applyFill="1" applyAlignment="1" applyProtection="1">
      <alignment horizontal="left" vertical="top"/>
      <protection/>
    </xf>
    <xf numFmtId="171" fontId="43" fillId="0" borderId="0" xfId="42" applyFont="1" applyFill="1" applyAlignment="1">
      <alignment horizontal="left" vertical="top"/>
    </xf>
    <xf numFmtId="171" fontId="25" fillId="0" borderId="0" xfId="42" applyFont="1" applyFill="1" applyAlignment="1">
      <alignment horizontal="left" vertical="top"/>
    </xf>
    <xf numFmtId="174" fontId="25" fillId="0" borderId="49" xfId="42" applyNumberFormat="1" applyFont="1" applyFill="1" applyBorder="1" applyAlignment="1">
      <alignment horizontal="left" vertical="top"/>
    </xf>
    <xf numFmtId="174" fontId="25" fillId="0" borderId="49" xfId="0" applyNumberFormat="1" applyFont="1" applyFill="1" applyBorder="1" applyAlignment="1">
      <alignment horizontal="left" vertical="top"/>
    </xf>
    <xf numFmtId="174" fontId="25" fillId="0" borderId="0" xfId="0" applyNumberFormat="1" applyFont="1" applyFill="1" applyBorder="1" applyAlignment="1">
      <alignment horizontal="left" vertical="top"/>
    </xf>
    <xf numFmtId="174" fontId="25" fillId="0" borderId="0" xfId="42" applyNumberFormat="1" applyFont="1" applyFill="1" applyBorder="1" applyAlignment="1">
      <alignment horizontal="left" vertical="top"/>
    </xf>
    <xf numFmtId="174" fontId="25" fillId="0" borderId="29" xfId="42" applyNumberFormat="1" applyFont="1" applyFill="1" applyBorder="1" applyAlignment="1">
      <alignment horizontal="left" vertical="top"/>
    </xf>
    <xf numFmtId="174" fontId="25" fillId="0" borderId="29" xfId="0" applyNumberFormat="1" applyFont="1" applyFill="1" applyBorder="1" applyAlignment="1">
      <alignment horizontal="left" vertical="top"/>
    </xf>
    <xf numFmtId="174" fontId="25" fillId="0" borderId="25" xfId="42" applyNumberFormat="1" applyFont="1" applyFill="1" applyBorder="1" applyAlignment="1">
      <alignment horizontal="left" vertical="top"/>
    </xf>
    <xf numFmtId="174" fontId="25" fillId="0" borderId="25" xfId="0" applyNumberFormat="1" applyFont="1" applyFill="1" applyBorder="1" applyAlignment="1">
      <alignment horizontal="left" vertical="top"/>
    </xf>
    <xf numFmtId="169" fontId="25" fillId="0" borderId="0" xfId="42" applyNumberFormat="1" applyFont="1" applyFill="1" applyBorder="1" applyAlignment="1">
      <alignment horizontal="left" vertical="top"/>
    </xf>
    <xf numFmtId="174" fontId="39" fillId="0" borderId="18" xfId="42" applyNumberFormat="1" applyFont="1" applyFill="1" applyBorder="1" applyAlignment="1">
      <alignment horizontal="left" vertical="top"/>
    </xf>
    <xf numFmtId="169" fontId="39" fillId="0" borderId="0" xfId="42" applyNumberFormat="1" applyFont="1" applyFill="1" applyBorder="1" applyAlignment="1">
      <alignment horizontal="left" vertical="top"/>
    </xf>
    <xf numFmtId="169" fontId="39" fillId="0" borderId="18" xfId="42" applyNumberFormat="1" applyFont="1" applyFill="1" applyBorder="1" applyAlignment="1">
      <alignment horizontal="left" vertical="top"/>
    </xf>
    <xf numFmtId="2" fontId="25" fillId="0" borderId="0" xfId="0" applyNumberFormat="1" applyFont="1" applyFill="1" applyAlignment="1">
      <alignment horizontal="left" vertical="top" wrapText="1"/>
    </xf>
    <xf numFmtId="2" fontId="25" fillId="0" borderId="0" xfId="0" applyNumberFormat="1" applyFont="1" applyFill="1" applyAlignment="1">
      <alignment horizontal="left" vertical="top"/>
    </xf>
    <xf numFmtId="169" fontId="25" fillId="0" borderId="0" xfId="0" applyNumberFormat="1" applyFont="1" applyFill="1" applyAlignment="1">
      <alignment horizontal="left" vertical="top" wrapText="1"/>
    </xf>
    <xf numFmtId="174" fontId="25" fillId="0" borderId="0" xfId="42" applyNumberFormat="1" applyFont="1" applyFill="1" applyAlignment="1">
      <alignment horizontal="right" vertical="top"/>
    </xf>
    <xf numFmtId="169" fontId="39" fillId="0" borderId="18" xfId="0" applyNumberFormat="1" applyFont="1" applyFill="1" applyBorder="1" applyAlignment="1">
      <alignment horizontal="left" vertical="top"/>
    </xf>
    <xf numFmtId="174" fontId="39" fillId="0" borderId="18" xfId="0" applyNumberFormat="1" applyFont="1" applyFill="1" applyBorder="1" applyAlignment="1">
      <alignment horizontal="left" vertical="top"/>
    </xf>
    <xf numFmtId="174" fontId="39" fillId="0" borderId="0" xfId="42" applyNumberFormat="1" applyFont="1" applyFill="1" applyBorder="1" applyAlignment="1">
      <alignment horizontal="left" vertical="top"/>
    </xf>
    <xf numFmtId="169" fontId="39" fillId="0" borderId="0" xfId="0" applyNumberFormat="1" applyFont="1" applyFill="1" applyBorder="1" applyAlignment="1">
      <alignment horizontal="left" vertical="top"/>
    </xf>
    <xf numFmtId="0" fontId="51" fillId="0" borderId="0" xfId="0" applyFont="1" applyFill="1" applyBorder="1" applyAlignment="1">
      <alignment vertical="top"/>
    </xf>
    <xf numFmtId="3" fontId="51" fillId="0" borderId="0" xfId="0" applyNumberFormat="1" applyFont="1" applyFill="1" applyBorder="1" applyAlignment="1">
      <alignment/>
    </xf>
    <xf numFmtId="0" fontId="52" fillId="0" borderId="0" xfId="0" applyFont="1" applyFill="1" applyBorder="1" applyAlignment="1">
      <alignment/>
    </xf>
    <xf numFmtId="3" fontId="52" fillId="0" borderId="0" xfId="0" applyNumberFormat="1" applyFont="1" applyFill="1" applyBorder="1" applyAlignment="1">
      <alignment/>
    </xf>
    <xf numFmtId="37" fontId="52" fillId="0" borderId="0" xfId="0" applyNumberFormat="1" applyFont="1" applyFill="1" applyBorder="1" applyAlignment="1">
      <alignment/>
    </xf>
    <xf numFmtId="0" fontId="51" fillId="0" borderId="0" xfId="0" applyFont="1" applyFill="1" applyBorder="1" applyAlignment="1">
      <alignment/>
    </xf>
    <xf numFmtId="0" fontId="52" fillId="0" borderId="0" xfId="0" applyFont="1" applyFill="1" applyBorder="1" applyAlignment="1">
      <alignment horizontal="left" vertical="top" wrapText="1"/>
    </xf>
    <xf numFmtId="10" fontId="52" fillId="0" borderId="0" xfId="0" applyNumberFormat="1" applyFont="1" applyFill="1" applyBorder="1" applyAlignment="1">
      <alignment/>
    </xf>
    <xf numFmtId="0" fontId="52" fillId="0" borderId="0" xfId="0" applyFont="1" applyFill="1" applyBorder="1" applyAlignment="1">
      <alignment horizontal="right"/>
    </xf>
    <xf numFmtId="4" fontId="52" fillId="0" borderId="0" xfId="42" applyNumberFormat="1" applyFont="1" applyFill="1" applyBorder="1" applyAlignment="1">
      <alignment horizontal="right"/>
    </xf>
    <xf numFmtId="9" fontId="52" fillId="0" borderId="0" xfId="0" applyNumberFormat="1" applyFont="1" applyFill="1" applyBorder="1" applyAlignment="1">
      <alignment horizontal="right"/>
    </xf>
    <xf numFmtId="9" fontId="52" fillId="0" borderId="0" xfId="0" applyNumberFormat="1" applyFont="1" applyFill="1" applyBorder="1" applyAlignment="1">
      <alignment/>
    </xf>
    <xf numFmtId="49" fontId="39" fillId="0" borderId="0" xfId="0" applyNumberFormat="1" applyFont="1" applyFill="1" applyAlignment="1">
      <alignment horizontal="center" vertical="top"/>
    </xf>
    <xf numFmtId="169" fontId="39" fillId="0" borderId="0" xfId="0" applyNumberFormat="1" applyFont="1" applyFill="1" applyAlignment="1">
      <alignment horizontal="left" vertical="top" wrapText="1"/>
    </xf>
    <xf numFmtId="174" fontId="39" fillId="0" borderId="0" xfId="42" applyNumberFormat="1" applyFont="1" applyFill="1" applyAlignment="1">
      <alignment horizontal="left" vertical="top"/>
    </xf>
    <xf numFmtId="0" fontId="25" fillId="0" borderId="0" xfId="0" applyFont="1" applyFill="1" applyAlignment="1">
      <alignment horizontal="left" vertical="top" wrapText="1"/>
    </xf>
    <xf numFmtId="175" fontId="39" fillId="0" borderId="0" xfId="0" applyNumberFormat="1" applyFont="1" applyFill="1" applyAlignment="1">
      <alignment horizontal="right" vertical="top"/>
    </xf>
    <xf numFmtId="0" fontId="25" fillId="0" borderId="0" xfId="0" applyFont="1" applyFill="1" applyAlignment="1">
      <alignment horizontal="right" vertical="top"/>
    </xf>
    <xf numFmtId="171" fontId="43" fillId="0" borderId="18" xfId="42" applyFont="1" applyFill="1" applyBorder="1" applyAlignment="1">
      <alignment horizontal="left" vertical="top"/>
    </xf>
    <xf numFmtId="174" fontId="25" fillId="0" borderId="18" xfId="0" applyNumberFormat="1" applyFont="1" applyFill="1" applyBorder="1" applyAlignment="1">
      <alignment horizontal="left" vertical="top"/>
    </xf>
    <xf numFmtId="174" fontId="39" fillId="0" borderId="14" xfId="42" applyNumberFormat="1" applyFont="1" applyFill="1" applyBorder="1" applyAlignment="1">
      <alignment horizontal="left" vertical="top"/>
    </xf>
    <xf numFmtId="49" fontId="39" fillId="0" borderId="0" xfId="0" applyNumberFormat="1" applyFont="1" applyFill="1" applyAlignment="1">
      <alignment horizontal="right" vertical="top"/>
    </xf>
    <xf numFmtId="171" fontId="25" fillId="0" borderId="0" xfId="0" applyNumberFormat="1" applyFont="1" applyFill="1" applyAlignment="1">
      <alignment horizontal="left" vertical="top"/>
    </xf>
    <xf numFmtId="0" fontId="39" fillId="0" borderId="0" xfId="0" applyFont="1" applyFill="1" applyBorder="1" applyAlignment="1">
      <alignment horizontal="left" vertical="top"/>
    </xf>
    <xf numFmtId="169" fontId="41" fillId="0" borderId="0" xfId="0" applyNumberFormat="1" applyFont="1" applyFill="1" applyAlignment="1">
      <alignment horizontal="left" vertical="top" wrapText="1"/>
    </xf>
    <xf numFmtId="174" fontId="25" fillId="0" borderId="24" xfId="42" applyNumberFormat="1" applyFont="1" applyFill="1" applyBorder="1" applyAlignment="1">
      <alignment horizontal="left" vertical="top"/>
    </xf>
    <xf numFmtId="174" fontId="25" fillId="0" borderId="24" xfId="0" applyNumberFormat="1" applyFont="1" applyFill="1" applyBorder="1" applyAlignment="1">
      <alignment horizontal="left" vertical="top"/>
    </xf>
    <xf numFmtId="174" fontId="39" fillId="0" borderId="0" xfId="42" applyNumberFormat="1" applyFont="1" applyFill="1" applyBorder="1" applyAlignment="1">
      <alignment horizontal="right" vertical="top"/>
    </xf>
    <xf numFmtId="174" fontId="39" fillId="0" borderId="0" xfId="0" applyNumberFormat="1" applyFont="1" applyFill="1" applyBorder="1" applyAlignment="1">
      <alignment horizontal="left" vertical="top"/>
    </xf>
    <xf numFmtId="174" fontId="25" fillId="0" borderId="0" xfId="42" applyNumberFormat="1" applyFont="1" applyFill="1" applyBorder="1" applyAlignment="1">
      <alignment horizontal="right" vertical="top"/>
    </xf>
    <xf numFmtId="174" fontId="25" fillId="0" borderId="0" xfId="42" applyNumberFormat="1" applyFont="1" applyFill="1" applyAlignment="1">
      <alignment horizontal="left" vertical="top" wrapText="1"/>
    </xf>
    <xf numFmtId="169" fontId="42" fillId="0" borderId="0" xfId="0" applyNumberFormat="1" applyFont="1" applyFill="1" applyAlignment="1">
      <alignment horizontal="left" vertical="top" wrapText="1"/>
    </xf>
    <xf numFmtId="0" fontId="41" fillId="0" borderId="0" xfId="0" applyFont="1" applyFill="1" applyAlignment="1">
      <alignment horizontal="left" vertical="top"/>
    </xf>
    <xf numFmtId="169" fontId="25" fillId="0" borderId="0" xfId="0" applyNumberFormat="1" applyFont="1" applyFill="1" applyBorder="1" applyAlignment="1">
      <alignment horizontal="left" vertical="top" wrapText="1"/>
    </xf>
    <xf numFmtId="169" fontId="25" fillId="0" borderId="0" xfId="42" applyNumberFormat="1" applyFont="1" applyFill="1" applyAlignment="1">
      <alignment horizontal="left" vertical="top" wrapText="1"/>
    </xf>
    <xf numFmtId="174" fontId="39" fillId="0" borderId="18" xfId="42" applyNumberFormat="1" applyFont="1" applyFill="1" applyBorder="1" applyAlignment="1">
      <alignment horizontal="left" vertical="top" wrapText="1"/>
    </xf>
    <xf numFmtId="49" fontId="39" fillId="0" borderId="0" xfId="0" applyNumberFormat="1" applyFont="1" applyFill="1" applyAlignment="1" quotePrefix="1">
      <alignment horizontal="center" vertical="top"/>
    </xf>
    <xf numFmtId="49" fontId="39" fillId="0" borderId="0" xfId="0" applyNumberFormat="1" applyFont="1" applyFill="1" applyAlignment="1" quotePrefix="1">
      <alignment horizontal="right" vertical="top"/>
    </xf>
    <xf numFmtId="169" fontId="39" fillId="0" borderId="0" xfId="0" applyNumberFormat="1" applyFont="1" applyFill="1" applyAlignment="1">
      <alignment horizontal="left" wrapText="1"/>
    </xf>
    <xf numFmtId="0" fontId="25" fillId="0" borderId="0" xfId="0" applyFont="1" applyFill="1" applyAlignment="1">
      <alignment horizontal="center" vertical="top"/>
    </xf>
    <xf numFmtId="171" fontId="43" fillId="0" borderId="0" xfId="42" applyFont="1" applyFill="1" applyAlignment="1">
      <alignment horizontal="center" vertical="top"/>
    </xf>
    <xf numFmtId="171" fontId="25" fillId="0" borderId="0" xfId="42" applyFont="1" applyFill="1" applyAlignment="1">
      <alignment horizontal="center" vertical="top"/>
    </xf>
    <xf numFmtId="169" fontId="39" fillId="0" borderId="0" xfId="0" applyNumberFormat="1" applyFont="1" applyFill="1" applyAlignment="1">
      <alignment horizontal="right" vertical="top" wrapText="1"/>
    </xf>
    <xf numFmtId="169" fontId="25" fillId="0" borderId="0" xfId="42" applyNumberFormat="1" applyFont="1" applyFill="1" applyBorder="1" applyAlignment="1">
      <alignment horizontal="right" vertical="top"/>
    </xf>
    <xf numFmtId="169" fontId="39" fillId="0" borderId="0" xfId="0" applyNumberFormat="1" applyFont="1" applyFill="1" applyBorder="1" applyAlignment="1">
      <alignment horizontal="right" vertical="top"/>
    </xf>
    <xf numFmtId="169" fontId="25" fillId="0" borderId="49" xfId="0" applyNumberFormat="1" applyFont="1" applyFill="1" applyBorder="1" applyAlignment="1">
      <alignment horizontal="left" vertical="top"/>
    </xf>
    <xf numFmtId="169" fontId="25" fillId="0" borderId="0" xfId="0" applyNumberFormat="1" applyFont="1" applyFill="1" applyAlignment="1">
      <alignment horizontal="right" vertical="top"/>
    </xf>
    <xf numFmtId="174" fontId="25" fillId="0" borderId="0" xfId="42" applyNumberFormat="1" applyFont="1" applyFill="1" applyBorder="1" applyAlignment="1">
      <alignment horizontal="left" vertical="top" wrapText="1"/>
    </xf>
    <xf numFmtId="169" fontId="39" fillId="0" borderId="0" xfId="0" applyNumberFormat="1" applyFont="1" applyFill="1" applyAlignment="1" quotePrefix="1">
      <alignment horizontal="left" vertical="top"/>
    </xf>
    <xf numFmtId="174" fontId="39" fillId="0" borderId="0" xfId="42" applyNumberFormat="1" applyFont="1" applyFill="1" applyAlignment="1" quotePrefix="1">
      <alignment horizontal="left" vertical="top"/>
    </xf>
    <xf numFmtId="169" fontId="39" fillId="0" borderId="0" xfId="0" applyNumberFormat="1" applyFont="1" applyFill="1" applyAlignment="1" quotePrefix="1">
      <alignment horizontal="left" vertical="top" wrapText="1"/>
    </xf>
    <xf numFmtId="174" fontId="39" fillId="0" borderId="0" xfId="42" applyNumberFormat="1" applyFont="1" applyFill="1" applyAlignment="1">
      <alignment horizontal="right" vertical="top" wrapText="1"/>
    </xf>
    <xf numFmtId="174" fontId="39" fillId="0" borderId="0" xfId="42" applyNumberFormat="1" applyFont="1" applyFill="1" applyAlignment="1">
      <alignment horizontal="right" vertical="top"/>
    </xf>
    <xf numFmtId="169" fontId="25" fillId="0" borderId="0" xfId="0" applyNumberFormat="1" applyFont="1" applyFill="1" applyBorder="1" applyAlignment="1">
      <alignment horizontal="right" vertical="top"/>
    </xf>
    <xf numFmtId="169" fontId="25" fillId="0" borderId="0" xfId="42" applyNumberFormat="1" applyFont="1" applyFill="1" applyAlignment="1">
      <alignment horizontal="left" vertical="top"/>
    </xf>
    <xf numFmtId="0" fontId="25" fillId="0" borderId="0" xfId="0" applyFont="1" applyFill="1" applyBorder="1" applyAlignment="1">
      <alignment horizontal="right" vertical="top"/>
    </xf>
    <xf numFmtId="174" fontId="39" fillId="0" borderId="0" xfId="42" applyNumberFormat="1" applyFont="1" applyFill="1" applyBorder="1" applyAlignment="1" quotePrefix="1">
      <alignment horizontal="right" vertical="top"/>
    </xf>
    <xf numFmtId="169" fontId="39" fillId="0" borderId="0" xfId="0" applyNumberFormat="1" applyFont="1" applyFill="1" applyBorder="1" applyAlignment="1" quotePrefix="1">
      <alignment horizontal="right" vertical="top"/>
    </xf>
    <xf numFmtId="169" fontId="39" fillId="0" borderId="0" xfId="42" applyNumberFormat="1" applyFont="1" applyFill="1" applyAlignment="1">
      <alignment horizontal="left" vertical="top"/>
    </xf>
    <xf numFmtId="0" fontId="25" fillId="0" borderId="0" xfId="0" applyFont="1" applyFill="1" applyAlignment="1">
      <alignment/>
    </xf>
    <xf numFmtId="171" fontId="39" fillId="0" borderId="0" xfId="42" applyFont="1" applyFill="1" applyAlignment="1">
      <alignment horizontal="left" vertical="top"/>
    </xf>
    <xf numFmtId="174" fontId="25" fillId="0" borderId="14" xfId="42" applyNumberFormat="1" applyFont="1" applyFill="1" applyBorder="1" applyAlignment="1">
      <alignment horizontal="left" vertical="top"/>
    </xf>
    <xf numFmtId="174" fontId="25" fillId="0" borderId="14" xfId="0" applyNumberFormat="1" applyFont="1" applyFill="1" applyBorder="1" applyAlignment="1">
      <alignment horizontal="left" vertical="top"/>
    </xf>
    <xf numFmtId="174" fontId="25" fillId="0" borderId="14" xfId="42" applyNumberFormat="1" applyFont="1" applyFill="1" applyBorder="1" applyAlignment="1">
      <alignment horizontal="right" vertical="top"/>
    </xf>
    <xf numFmtId="169" fontId="25" fillId="0" borderId="14" xfId="0" applyNumberFormat="1" applyFont="1" applyFill="1" applyBorder="1" applyAlignment="1">
      <alignment horizontal="left" vertical="top"/>
    </xf>
    <xf numFmtId="174" fontId="25" fillId="0" borderId="0" xfId="0" applyNumberFormat="1" applyFont="1" applyFill="1" applyAlignment="1">
      <alignment/>
    </xf>
    <xf numFmtId="174" fontId="25" fillId="0" borderId="0" xfId="0" applyNumberFormat="1" applyFont="1" applyFill="1" applyBorder="1" applyAlignment="1">
      <alignment horizontal="left" vertical="top" wrapText="1"/>
    </xf>
    <xf numFmtId="174" fontId="39" fillId="0" borderId="0" xfId="42" applyNumberFormat="1" applyFont="1" applyFill="1" applyBorder="1" applyAlignment="1">
      <alignment horizontal="left" vertical="top" wrapText="1"/>
    </xf>
    <xf numFmtId="169" fontId="40" fillId="0" borderId="0" xfId="0" applyNumberFormat="1" applyFont="1" applyFill="1" applyAlignment="1">
      <alignment horizontal="left" vertical="top"/>
    </xf>
    <xf numFmtId="174" fontId="39" fillId="0" borderId="0" xfId="42" applyNumberFormat="1" applyFont="1" applyFill="1" applyAlignment="1" quotePrefix="1">
      <alignment horizontal="right" vertical="top"/>
    </xf>
    <xf numFmtId="169" fontId="43" fillId="0" borderId="0" xfId="0" applyNumberFormat="1" applyFont="1" applyFill="1" applyAlignment="1">
      <alignment horizontal="left" vertical="top"/>
    </xf>
    <xf numFmtId="169" fontId="25" fillId="0" borderId="0" xfId="59" applyNumberFormat="1" applyFont="1" applyFill="1" applyAlignment="1">
      <alignment horizontal="left" vertical="top"/>
      <protection/>
    </xf>
    <xf numFmtId="174" fontId="25" fillId="0" borderId="0" xfId="59" applyNumberFormat="1" applyFont="1" applyFill="1" applyAlignment="1">
      <alignment horizontal="left" vertical="top"/>
      <protection/>
    </xf>
    <xf numFmtId="169" fontId="25" fillId="0" borderId="18" xfId="0" applyNumberFormat="1" applyFont="1" applyFill="1" applyBorder="1" applyAlignment="1">
      <alignment horizontal="left" vertical="top"/>
    </xf>
    <xf numFmtId="0" fontId="25" fillId="0" borderId="0" xfId="0" applyNumberFormat="1" applyFont="1" applyFill="1" applyAlignment="1">
      <alignment horizontal="left" vertical="top" wrapText="1"/>
    </xf>
    <xf numFmtId="174" fontId="39" fillId="0" borderId="18" xfId="42" applyNumberFormat="1" applyFont="1" applyFill="1" applyBorder="1" applyAlignment="1">
      <alignment horizontal="right" vertical="top"/>
    </xf>
    <xf numFmtId="174" fontId="25" fillId="0" borderId="0" xfId="0" applyNumberFormat="1" applyFont="1" applyFill="1" applyAlignment="1">
      <alignment horizontal="right" vertical="top"/>
    </xf>
    <xf numFmtId="174" fontId="25" fillId="0" borderId="18" xfId="42" applyNumberFormat="1" applyFont="1" applyFill="1" applyBorder="1" applyAlignment="1">
      <alignment horizontal="right" vertical="top"/>
    </xf>
    <xf numFmtId="174" fontId="25" fillId="0" borderId="0" xfId="0" applyNumberFormat="1" applyFont="1" applyFill="1" applyAlignment="1">
      <alignment horizontal="left" vertical="top" wrapText="1"/>
    </xf>
    <xf numFmtId="0" fontId="40" fillId="0" borderId="0" xfId="0" applyFont="1" applyFill="1" applyAlignment="1">
      <alignment horizontal="right" vertical="top"/>
    </xf>
    <xf numFmtId="174" fontId="40" fillId="0" borderId="0" xfId="0" applyNumberFormat="1" applyFont="1" applyFill="1" applyAlignment="1">
      <alignment horizontal="left" vertical="top"/>
    </xf>
    <xf numFmtId="177" fontId="25" fillId="0" borderId="0" xfId="0" applyNumberFormat="1" applyFont="1" applyFill="1" applyAlignment="1">
      <alignment horizontal="left" vertical="top" wrapText="1"/>
    </xf>
    <xf numFmtId="171" fontId="43" fillId="0" borderId="0" xfId="42" applyFont="1" applyFill="1" applyAlignment="1" quotePrefix="1">
      <alignment horizontal="left" vertical="top"/>
    </xf>
    <xf numFmtId="0" fontId="40" fillId="0" borderId="0" xfId="0" applyFont="1" applyFill="1" applyAlignment="1">
      <alignment horizontal="left" vertical="top"/>
    </xf>
    <xf numFmtId="13" fontId="43" fillId="0" borderId="0" xfId="42" applyNumberFormat="1" applyFont="1" applyFill="1" applyAlignment="1" quotePrefix="1">
      <alignment horizontal="left" vertical="top"/>
    </xf>
    <xf numFmtId="169" fontId="42" fillId="0" borderId="0" xfId="0" applyNumberFormat="1" applyFont="1" applyFill="1" applyBorder="1" applyAlignment="1">
      <alignment horizontal="left" vertical="top"/>
    </xf>
    <xf numFmtId="174" fontId="42" fillId="0" borderId="0" xfId="42" applyNumberFormat="1" applyFont="1" applyFill="1" applyAlignment="1">
      <alignment horizontal="left" vertical="top"/>
    </xf>
    <xf numFmtId="169" fontId="42" fillId="0" borderId="0" xfId="0" applyNumberFormat="1" applyFont="1" applyFill="1" applyAlignment="1">
      <alignment horizontal="left" vertical="top"/>
    </xf>
    <xf numFmtId="169" fontId="40" fillId="0" borderId="0" xfId="0" applyNumberFormat="1" applyFont="1" applyFill="1" applyAlignment="1">
      <alignment horizontal="left" vertical="top"/>
    </xf>
    <xf numFmtId="0" fontId="39" fillId="0" borderId="0" xfId="0" applyFont="1" applyFill="1" applyAlignment="1">
      <alignment horizontal="left" vertical="top" wrapText="1"/>
    </xf>
    <xf numFmtId="174" fontId="40" fillId="0" borderId="0" xfId="42" applyNumberFormat="1" applyFont="1" applyFill="1" applyAlignment="1">
      <alignment horizontal="left" vertical="top"/>
    </xf>
    <xf numFmtId="174" fontId="40" fillId="0" borderId="0" xfId="42" applyNumberFormat="1" applyFont="1" applyFill="1" applyAlignment="1" quotePrefix="1">
      <alignment horizontal="left" vertical="top"/>
    </xf>
    <xf numFmtId="171" fontId="43" fillId="0" borderId="0" xfId="42" applyFont="1" applyFill="1" applyAlignment="1">
      <alignment horizontal="left" vertical="top"/>
    </xf>
    <xf numFmtId="0" fontId="43" fillId="0" borderId="0" xfId="0" applyFont="1" applyFill="1" applyAlignment="1">
      <alignment horizontal="left" vertical="top"/>
    </xf>
    <xf numFmtId="174" fontId="39" fillId="0" borderId="0" xfId="42" applyNumberFormat="1" applyFont="1" applyFill="1" applyAlignment="1">
      <alignment horizontal="left" vertical="top" wrapText="1"/>
    </xf>
    <xf numFmtId="169" fontId="25" fillId="0" borderId="29" xfId="42" applyNumberFormat="1" applyFont="1" applyFill="1" applyBorder="1" applyAlignment="1">
      <alignment horizontal="left" vertical="top"/>
    </xf>
    <xf numFmtId="169" fontId="25" fillId="0" borderId="25" xfId="42" applyNumberFormat="1" applyFont="1" applyFill="1" applyBorder="1" applyAlignment="1">
      <alignment horizontal="left" vertical="top"/>
    </xf>
    <xf numFmtId="169" fontId="39" fillId="0" borderId="19" xfId="42" applyNumberFormat="1" applyFont="1" applyFill="1" applyBorder="1" applyAlignment="1">
      <alignment horizontal="left" vertical="top"/>
    </xf>
    <xf numFmtId="169" fontId="39" fillId="0" borderId="0" xfId="0" applyNumberFormat="1" applyFont="1" applyFill="1" applyAlignment="1">
      <alignment vertical="top"/>
    </xf>
    <xf numFmtId="171" fontId="25" fillId="0" borderId="18" xfId="42" applyFont="1" applyFill="1" applyBorder="1" applyAlignment="1">
      <alignment horizontal="left" vertical="top"/>
    </xf>
    <xf numFmtId="174" fontId="39" fillId="0" borderId="0" xfId="0" applyNumberFormat="1" applyFont="1" applyFill="1" applyAlignment="1">
      <alignment horizontal="left" vertical="top"/>
    </xf>
    <xf numFmtId="174" fontId="42" fillId="0" borderId="0" xfId="42" applyNumberFormat="1" applyFont="1" applyFill="1" applyAlignment="1">
      <alignment horizontal="right" vertical="top"/>
    </xf>
    <xf numFmtId="169" fontId="42" fillId="0" borderId="0" xfId="0" applyNumberFormat="1" applyFont="1" applyFill="1" applyBorder="1" applyAlignment="1">
      <alignment horizontal="right" vertical="top"/>
    </xf>
    <xf numFmtId="15" fontId="39" fillId="0" borderId="0" xfId="0" applyNumberFormat="1" applyFont="1" applyFill="1" applyAlignment="1" quotePrefix="1">
      <alignment horizontal="left"/>
    </xf>
    <xf numFmtId="174" fontId="39" fillId="0" borderId="0" xfId="42" applyNumberFormat="1" applyFont="1" applyFill="1" applyBorder="1" applyAlignment="1">
      <alignment horizontal="right" vertical="top" wrapText="1"/>
    </xf>
    <xf numFmtId="174" fontId="39" fillId="0" borderId="0" xfId="42" applyNumberFormat="1" applyFont="1" applyFill="1" applyBorder="1" applyAlignment="1">
      <alignment horizontal="right" wrapText="1"/>
    </xf>
    <xf numFmtId="169" fontId="44" fillId="0" borderId="0" xfId="0" applyNumberFormat="1" applyFont="1" applyFill="1" applyAlignment="1">
      <alignment horizontal="left" vertical="top" wrapText="1"/>
    </xf>
    <xf numFmtId="177" fontId="25" fillId="0" borderId="0" xfId="0" applyNumberFormat="1" applyFont="1" applyFill="1" applyBorder="1" applyAlignment="1">
      <alignment horizontal="left" vertical="top" wrapText="1"/>
    </xf>
    <xf numFmtId="177" fontId="39" fillId="0" borderId="0" xfId="0" applyNumberFormat="1" applyFont="1" applyFill="1" applyBorder="1" applyAlignment="1">
      <alignment horizontal="left" vertical="top" wrapText="1"/>
    </xf>
    <xf numFmtId="171" fontId="25" fillId="0" borderId="0" xfId="42" applyFont="1" applyFill="1" applyBorder="1" applyAlignment="1">
      <alignment horizontal="left" vertical="top" wrapText="1"/>
    </xf>
    <xf numFmtId="171" fontId="39" fillId="0" borderId="0" xfId="42" applyFont="1" applyFill="1" applyBorder="1" applyAlignment="1" quotePrefix="1">
      <alignment horizontal="left" vertical="top" wrapText="1"/>
    </xf>
    <xf numFmtId="177" fontId="39" fillId="0" borderId="0" xfId="0" applyNumberFormat="1" applyFont="1" applyFill="1" applyBorder="1" applyAlignment="1">
      <alignment horizontal="right" vertical="top" wrapText="1"/>
    </xf>
    <xf numFmtId="174" fontId="25" fillId="0" borderId="0" xfId="42" applyNumberFormat="1" applyFont="1" applyFill="1" applyBorder="1" applyAlignment="1">
      <alignment/>
    </xf>
    <xf numFmtId="171" fontId="25" fillId="0" borderId="0" xfId="42" applyFont="1" applyFill="1" applyBorder="1" applyAlignment="1">
      <alignment horizontal="left" vertical="top"/>
    </xf>
    <xf numFmtId="174" fontId="25" fillId="0" borderId="29" xfId="42" applyNumberFormat="1" applyFont="1" applyFill="1" applyBorder="1" applyAlignment="1">
      <alignment horizontal="left" vertical="top" wrapText="1"/>
    </xf>
    <xf numFmtId="171" fontId="25" fillId="0" borderId="0" xfId="42" applyFont="1" applyFill="1" applyBorder="1" applyAlignment="1">
      <alignment horizontal="right" vertical="top" wrapText="1"/>
    </xf>
    <xf numFmtId="171" fontId="39" fillId="0" borderId="0" xfId="42" applyFont="1" applyFill="1" applyBorder="1" applyAlignment="1">
      <alignment horizontal="left" vertical="top" wrapText="1"/>
    </xf>
    <xf numFmtId="174" fontId="25" fillId="0" borderId="24" xfId="42" applyNumberFormat="1" applyFont="1" applyFill="1" applyBorder="1" applyAlignment="1">
      <alignment horizontal="left" vertical="top" wrapText="1"/>
    </xf>
    <xf numFmtId="174" fontId="25" fillId="0" borderId="25" xfId="42" applyNumberFormat="1" applyFont="1" applyFill="1" applyBorder="1" applyAlignment="1">
      <alignment horizontal="left" vertical="top" wrapText="1"/>
    </xf>
    <xf numFmtId="171" fontId="39" fillId="0" borderId="0" xfId="42" applyFont="1" applyFill="1" applyBorder="1" applyAlignment="1">
      <alignment horizontal="right" vertical="top" wrapText="1"/>
    </xf>
    <xf numFmtId="174" fontId="25" fillId="0" borderId="0" xfId="42" applyNumberFormat="1" applyFont="1" applyFill="1" applyBorder="1" applyAlignment="1">
      <alignment horizontal="right" vertical="top" wrapText="1"/>
    </xf>
    <xf numFmtId="177" fontId="39" fillId="0" borderId="0" xfId="0" applyNumberFormat="1" applyFont="1" applyFill="1" applyAlignment="1">
      <alignment horizontal="left" vertical="top" wrapText="1"/>
    </xf>
    <xf numFmtId="171" fontId="25" fillId="0" borderId="0" xfId="42" applyFont="1" applyFill="1" applyAlignment="1">
      <alignment horizontal="left" vertical="top" wrapText="1"/>
    </xf>
    <xf numFmtId="0" fontId="39" fillId="0" borderId="0" xfId="0" applyNumberFormat="1" applyFont="1" applyFill="1" applyAlignment="1">
      <alignment horizontal="right" vertical="top" wrapText="1"/>
    </xf>
    <xf numFmtId="0" fontId="39" fillId="0" borderId="0" xfId="0" applyNumberFormat="1" applyFont="1" applyFill="1" applyAlignment="1">
      <alignment horizontal="left" vertical="top" wrapText="1"/>
    </xf>
    <xf numFmtId="0" fontId="25" fillId="0" borderId="0" xfId="0" applyNumberFormat="1" applyFont="1" applyFill="1" applyBorder="1" applyAlignment="1">
      <alignment horizontal="left" vertical="top" wrapText="1"/>
    </xf>
    <xf numFmtId="171" fontId="43" fillId="0" borderId="71" xfId="42" applyFont="1" applyFill="1" applyBorder="1" applyAlignment="1">
      <alignment horizontal="left" vertical="top"/>
    </xf>
    <xf numFmtId="171" fontId="43" fillId="0" borderId="27" xfId="42" applyFont="1" applyFill="1" applyBorder="1" applyAlignment="1">
      <alignment horizontal="left" vertical="top"/>
    </xf>
    <xf numFmtId="171" fontId="43" fillId="0" borderId="0" xfId="42" applyFont="1" applyFill="1" applyBorder="1" applyAlignment="1">
      <alignment horizontal="left" vertical="top"/>
    </xf>
    <xf numFmtId="169" fontId="43" fillId="0" borderId="0" xfId="0" applyNumberFormat="1" applyFont="1" applyFill="1" applyAlignment="1">
      <alignment horizontal="right" vertical="top"/>
    </xf>
    <xf numFmtId="0" fontId="43" fillId="0" borderId="0" xfId="0" applyFont="1" applyFill="1" applyAlignment="1">
      <alignment horizontal="left" vertical="top"/>
    </xf>
    <xf numFmtId="171" fontId="25" fillId="0" borderId="72" xfId="42" applyFont="1" applyFill="1" applyBorder="1" applyAlignment="1">
      <alignment horizontal="left" vertical="top"/>
    </xf>
    <xf numFmtId="0" fontId="25" fillId="0" borderId="0" xfId="0" applyFont="1" applyFill="1" applyBorder="1" applyAlignment="1">
      <alignment horizontal="left" vertical="top" wrapText="1"/>
    </xf>
    <xf numFmtId="169" fontId="25" fillId="0" borderId="0" xfId="42" applyNumberFormat="1" applyFont="1" applyFill="1" applyAlignment="1">
      <alignment/>
    </xf>
    <xf numFmtId="169" fontId="25" fillId="0" borderId="0" xfId="0" applyNumberFormat="1" applyFont="1" applyFill="1" applyBorder="1" applyAlignment="1">
      <alignment/>
    </xf>
    <xf numFmtId="178" fontId="39" fillId="0" borderId="0" xfId="42" applyNumberFormat="1" applyFont="1" applyFill="1" applyAlignment="1">
      <alignment horizontal="right" vertical="top"/>
    </xf>
    <xf numFmtId="169" fontId="39" fillId="0" borderId="0" xfId="0" applyNumberFormat="1" applyFont="1" applyFill="1" applyBorder="1" applyAlignment="1">
      <alignment/>
    </xf>
    <xf numFmtId="169" fontId="25" fillId="0" borderId="0" xfId="42" applyNumberFormat="1" applyFont="1" applyFill="1" applyBorder="1" applyAlignment="1">
      <alignment/>
    </xf>
    <xf numFmtId="169" fontId="39" fillId="0" borderId="0" xfId="42" applyNumberFormat="1" applyFont="1" applyFill="1" applyBorder="1" applyAlignment="1">
      <alignment/>
    </xf>
    <xf numFmtId="182" fontId="25" fillId="0" borderId="0" xfId="42" applyNumberFormat="1" applyFont="1" applyFill="1" applyBorder="1" applyAlignment="1">
      <alignment/>
    </xf>
    <xf numFmtId="182" fontId="25" fillId="0" borderId="0" xfId="0" applyNumberFormat="1" applyFont="1" applyFill="1" applyBorder="1" applyAlignment="1">
      <alignment/>
    </xf>
    <xf numFmtId="182" fontId="39" fillId="0" borderId="18" xfId="42" applyNumberFormat="1" applyFont="1" applyFill="1" applyBorder="1" applyAlignment="1">
      <alignment/>
    </xf>
    <xf numFmtId="171" fontId="0" fillId="0" borderId="0" xfId="42" applyFont="1" applyFill="1" applyBorder="1" applyAlignment="1">
      <alignment/>
    </xf>
    <xf numFmtId="169" fontId="0"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69" fontId="2" fillId="0" borderId="25" xfId="0" applyNumberFormat="1" applyFont="1" applyFill="1" applyBorder="1" applyAlignment="1">
      <alignment/>
    </xf>
    <xf numFmtId="169" fontId="2" fillId="0" borderId="42" xfId="0" applyNumberFormat="1" applyFont="1" applyFill="1" applyBorder="1" applyAlignment="1">
      <alignment/>
    </xf>
    <xf numFmtId="169" fontId="2" fillId="0" borderId="54" xfId="0" applyNumberFormat="1" applyFont="1" applyFill="1" applyBorder="1" applyAlignment="1">
      <alignment/>
    </xf>
    <xf numFmtId="169" fontId="2" fillId="0" borderId="54" xfId="0" applyNumberFormat="1" applyFont="1" applyFill="1" applyBorder="1" applyAlignment="1">
      <alignment/>
    </xf>
    <xf numFmtId="169" fontId="2" fillId="0" borderId="11" xfId="0" applyNumberFormat="1" applyFont="1" applyFill="1" applyBorder="1" applyAlignment="1">
      <alignment/>
    </xf>
    <xf numFmtId="0" fontId="0" fillId="0" borderId="22" xfId="0" applyFont="1" applyBorder="1" applyAlignment="1">
      <alignment/>
    </xf>
    <xf numFmtId="171" fontId="40" fillId="0" borderId="0" xfId="42" applyFont="1" applyFill="1" applyAlignment="1">
      <alignment horizontal="left" vertical="top"/>
    </xf>
    <xf numFmtId="49" fontId="39" fillId="0" borderId="0" xfId="0" applyNumberFormat="1" applyFont="1" applyFill="1" applyBorder="1" applyAlignment="1">
      <alignment horizontal="center" vertical="top"/>
    </xf>
    <xf numFmtId="174" fontId="25" fillId="0" borderId="0" xfId="42" applyNumberFormat="1" applyFont="1" applyFill="1" applyBorder="1" applyAlignment="1">
      <alignment horizontal="right"/>
    </xf>
    <xf numFmtId="187" fontId="39" fillId="0" borderId="0" xfId="0" applyNumberFormat="1" applyFont="1" applyFill="1" applyAlignment="1">
      <alignment horizontal="right" vertical="top"/>
    </xf>
    <xf numFmtId="169" fontId="2" fillId="0" borderId="31" xfId="0" applyNumberFormat="1" applyFont="1" applyFill="1" applyBorder="1" applyAlignment="1">
      <alignment horizontal="right"/>
    </xf>
    <xf numFmtId="2" fontId="39" fillId="0" borderId="0" xfId="0" applyNumberFormat="1" applyFont="1" applyFill="1" applyAlignment="1">
      <alignment horizontal="left" vertical="top" wrapText="1"/>
    </xf>
    <xf numFmtId="169" fontId="25" fillId="0" borderId="18" xfId="0" applyNumberFormat="1" applyFont="1" applyFill="1" applyBorder="1" applyAlignment="1">
      <alignment horizontal="left" vertical="top" wrapText="1"/>
    </xf>
    <xf numFmtId="174" fontId="23" fillId="0" borderId="73" xfId="42" applyNumberFormat="1" applyFont="1" applyFill="1" applyBorder="1" applyAlignment="1">
      <alignment vertical="center" wrapText="1"/>
    </xf>
    <xf numFmtId="174" fontId="23" fillId="0" borderId="0" xfId="42" applyNumberFormat="1" applyFont="1" applyFill="1" applyBorder="1" applyAlignment="1">
      <alignment vertical="center" wrapText="1"/>
    </xf>
    <xf numFmtId="174" fontId="20" fillId="0" borderId="24" xfId="0" applyNumberFormat="1" applyFont="1" applyFill="1" applyBorder="1" applyAlignment="1">
      <alignment horizontal="center" vertical="center" wrapText="1"/>
    </xf>
    <xf numFmtId="174" fontId="20" fillId="0" borderId="0" xfId="42" applyNumberFormat="1" applyFont="1" applyFill="1" applyBorder="1" applyAlignment="1">
      <alignment/>
    </xf>
    <xf numFmtId="174" fontId="23" fillId="0" borderId="28" xfId="0" applyNumberFormat="1" applyFont="1" applyFill="1" applyBorder="1" applyAlignment="1">
      <alignment/>
    </xf>
    <xf numFmtId="174" fontId="23" fillId="0" borderId="30" xfId="42" applyNumberFormat="1" applyFont="1" applyFill="1" applyBorder="1" applyAlignment="1">
      <alignment/>
    </xf>
    <xf numFmtId="171" fontId="23" fillId="0" borderId="28" xfId="42" applyFont="1" applyFill="1" applyBorder="1" applyAlignment="1">
      <alignment/>
    </xf>
    <xf numFmtId="174" fontId="23" fillId="0" borderId="45" xfId="0" applyNumberFormat="1" applyFont="1" applyFill="1" applyBorder="1" applyAlignment="1">
      <alignment/>
    </xf>
    <xf numFmtId="174" fontId="23" fillId="0" borderId="28" xfId="42" applyNumberFormat="1" applyFont="1" applyFill="1" applyBorder="1" applyAlignment="1">
      <alignment/>
    </xf>
    <xf numFmtId="171" fontId="23" fillId="0" borderId="45" xfId="42" applyFont="1" applyFill="1" applyBorder="1" applyAlignment="1">
      <alignment/>
    </xf>
    <xf numFmtId="1" fontId="0" fillId="0" borderId="0" xfId="0" applyNumberFormat="1" applyFont="1" applyFill="1" applyAlignment="1">
      <alignment/>
    </xf>
    <xf numFmtId="1" fontId="0" fillId="0" borderId="0" xfId="0" applyNumberFormat="1" applyFont="1" applyFill="1" applyBorder="1" applyAlignment="1">
      <alignment/>
    </xf>
    <xf numFmtId="1" fontId="0" fillId="0" borderId="11" xfId="0" applyNumberFormat="1" applyFont="1" applyFill="1" applyBorder="1" applyAlignment="1">
      <alignment/>
    </xf>
    <xf numFmtId="171" fontId="2" fillId="0" borderId="20" xfId="0" applyNumberFormat="1" applyFont="1" applyFill="1" applyBorder="1" applyAlignment="1">
      <alignment horizontal="center" vertical="center" wrapText="1"/>
    </xf>
    <xf numFmtId="171" fontId="2" fillId="0" borderId="23" xfId="0" applyNumberFormat="1" applyFont="1" applyFill="1" applyBorder="1" applyAlignment="1">
      <alignment horizontal="center" vertical="center" wrapText="1"/>
    </xf>
    <xf numFmtId="171" fontId="2" fillId="0" borderId="74" xfId="0" applyNumberFormat="1" applyFont="1" applyFill="1" applyBorder="1" applyAlignment="1">
      <alignment horizontal="right" vertical="center" wrapText="1"/>
    </xf>
    <xf numFmtId="171" fontId="2" fillId="0" borderId="69" xfId="0" applyNumberFormat="1" applyFont="1" applyFill="1" applyBorder="1" applyAlignment="1">
      <alignment horizontal="right" vertical="center" wrapText="1"/>
    </xf>
    <xf numFmtId="171" fontId="2" fillId="0" borderId="75" xfId="0" applyNumberFormat="1" applyFont="1" applyFill="1" applyBorder="1" applyAlignment="1">
      <alignment horizontal="right" vertical="center" wrapText="1"/>
    </xf>
    <xf numFmtId="171" fontId="2" fillId="0" borderId="70" xfId="0" applyNumberFormat="1" applyFont="1" applyFill="1" applyBorder="1" applyAlignment="1">
      <alignment horizontal="right" vertical="center" wrapText="1"/>
    </xf>
    <xf numFmtId="171" fontId="0" fillId="0" borderId="22" xfId="0" applyNumberFormat="1" applyFont="1" applyFill="1" applyBorder="1" applyAlignment="1">
      <alignment/>
    </xf>
    <xf numFmtId="169" fontId="0" fillId="0" borderId="56" xfId="0" applyNumberFormat="1" applyFont="1" applyFill="1" applyBorder="1" applyAlignment="1">
      <alignment/>
    </xf>
    <xf numFmtId="169" fontId="0" fillId="0" borderId="35" xfId="0" applyNumberFormat="1" applyFont="1" applyFill="1" applyBorder="1" applyAlignment="1">
      <alignment/>
    </xf>
    <xf numFmtId="169" fontId="0" fillId="0" borderId="22" xfId="0" applyNumberFormat="1" applyFont="1" applyFill="1" applyBorder="1" applyAlignment="1">
      <alignment/>
    </xf>
    <xf numFmtId="169" fontId="0" fillId="0" borderId="37" xfId="0" applyNumberFormat="1" applyFont="1" applyFill="1" applyBorder="1" applyAlignment="1">
      <alignment/>
    </xf>
    <xf numFmtId="169" fontId="0" fillId="0" borderId="25" xfId="0" applyNumberFormat="1" applyFont="1" applyFill="1" applyBorder="1" applyAlignment="1">
      <alignment/>
    </xf>
    <xf numFmtId="171" fontId="2" fillId="0" borderId="22" xfId="0" applyNumberFormat="1" applyFont="1" applyFill="1" applyBorder="1" applyAlignment="1">
      <alignment horizontal="left"/>
    </xf>
    <xf numFmtId="169" fontId="2" fillId="0" borderId="28" xfId="0" applyNumberFormat="1" applyFont="1" applyFill="1" applyBorder="1" applyAlignment="1">
      <alignment horizontal="center"/>
    </xf>
    <xf numFmtId="171" fontId="0" fillId="0" borderId="23" xfId="0" applyNumberFormat="1" applyFont="1" applyFill="1" applyBorder="1" applyAlignment="1">
      <alignment/>
    </xf>
    <xf numFmtId="171" fontId="0" fillId="0" borderId="10" xfId="0" applyNumberFormat="1" applyFont="1" applyFill="1" applyBorder="1" applyAlignment="1">
      <alignment/>
    </xf>
    <xf numFmtId="171" fontId="0" fillId="0" borderId="16" xfId="0" applyNumberFormat="1" applyFont="1" applyFill="1" applyBorder="1" applyAlignment="1">
      <alignment/>
    </xf>
    <xf numFmtId="0" fontId="23" fillId="0" borderId="0" xfId="0" applyFont="1" applyFill="1" applyBorder="1" applyAlignment="1">
      <alignment/>
    </xf>
    <xf numFmtId="174" fontId="23" fillId="0" borderId="0" xfId="0" applyNumberFormat="1" applyFont="1" applyFill="1" applyBorder="1" applyAlignment="1">
      <alignment/>
    </xf>
    <xf numFmtId="174" fontId="23" fillId="0" borderId="0" xfId="42" applyNumberFormat="1" applyFont="1" applyFill="1" applyBorder="1" applyAlignment="1">
      <alignment/>
    </xf>
    <xf numFmtId="174" fontId="2" fillId="0" borderId="0" xfId="0" applyNumberFormat="1" applyFont="1" applyFill="1" applyBorder="1" applyAlignment="1">
      <alignment/>
    </xf>
    <xf numFmtId="49" fontId="2" fillId="0" borderId="0" xfId="0" applyNumberFormat="1" applyFont="1" applyFill="1" applyAlignment="1">
      <alignment horizontal="center"/>
    </xf>
    <xf numFmtId="171" fontId="0" fillId="0" borderId="0" xfId="42" applyFont="1" applyAlignment="1">
      <alignment/>
    </xf>
    <xf numFmtId="171" fontId="0" fillId="0" borderId="0" xfId="0" applyNumberFormat="1" applyFont="1" applyAlignment="1">
      <alignment/>
    </xf>
    <xf numFmtId="0" fontId="0" fillId="0" borderId="22" xfId="0" applyFont="1" applyFill="1" applyBorder="1" applyAlignment="1">
      <alignment/>
    </xf>
    <xf numFmtId="169" fontId="0" fillId="0" borderId="13" xfId="0" applyNumberFormat="1" applyFont="1" applyBorder="1" applyAlignment="1">
      <alignment/>
    </xf>
    <xf numFmtId="0" fontId="21" fillId="0" borderId="0" xfId="0" applyFont="1" applyAlignment="1">
      <alignment vertical="center"/>
    </xf>
    <xf numFmtId="0" fontId="0" fillId="0" borderId="0" xfId="0" applyAlignment="1">
      <alignment vertical="center"/>
    </xf>
    <xf numFmtId="169" fontId="2" fillId="0" borderId="35" xfId="0" applyNumberFormat="1" applyFont="1" applyFill="1" applyBorder="1" applyAlignment="1">
      <alignment/>
    </xf>
    <xf numFmtId="0" fontId="2" fillId="0" borderId="0" xfId="0" applyFont="1" applyFill="1" applyBorder="1" applyAlignment="1">
      <alignment horizontal="left"/>
    </xf>
    <xf numFmtId="0" fontId="25" fillId="0" borderId="10" xfId="0" applyFont="1" applyFill="1" applyBorder="1" applyAlignment="1">
      <alignment horizontal="right"/>
    </xf>
    <xf numFmtId="0" fontId="46" fillId="0" borderId="0" xfId="0" applyFont="1" applyFill="1" applyAlignment="1">
      <alignment/>
    </xf>
    <xf numFmtId="2" fontId="25" fillId="0" borderId="0" xfId="0" applyNumberFormat="1" applyFont="1" applyFill="1" applyBorder="1" applyAlignment="1">
      <alignment horizontal="left" vertical="top" wrapText="1"/>
    </xf>
    <xf numFmtId="0" fontId="0" fillId="0" borderId="10" xfId="0" applyFont="1" applyFill="1" applyBorder="1" applyAlignment="1">
      <alignment/>
    </xf>
    <xf numFmtId="14" fontId="0" fillId="0" borderId="10" xfId="0" applyNumberFormat="1" applyFont="1" applyFill="1" applyBorder="1" applyAlignment="1">
      <alignment horizontal="right"/>
    </xf>
    <xf numFmtId="169" fontId="0" fillId="0" borderId="10" xfId="0" applyNumberFormat="1" applyFont="1" applyFill="1" applyBorder="1" applyAlignment="1">
      <alignment horizontal="right"/>
    </xf>
    <xf numFmtId="169" fontId="0" fillId="0" borderId="16" xfId="0" applyNumberFormat="1" applyFont="1" applyFill="1" applyBorder="1" applyAlignment="1">
      <alignment horizontal="right"/>
    </xf>
    <xf numFmtId="169" fontId="0" fillId="0" borderId="37" xfId="0" applyNumberFormat="1" applyFont="1" applyBorder="1" applyAlignment="1">
      <alignment/>
    </xf>
    <xf numFmtId="9" fontId="0" fillId="0" borderId="24" xfId="62" applyFont="1" applyBorder="1" applyAlignment="1">
      <alignment horizontal="right"/>
    </xf>
    <xf numFmtId="174" fontId="0" fillId="0" borderId="44" xfId="42" applyNumberFormat="1" applyFont="1" applyFill="1" applyBorder="1" applyAlignment="1">
      <alignment vertical="center" wrapText="1"/>
    </xf>
    <xf numFmtId="174" fontId="0" fillId="0" borderId="76" xfId="42" applyNumberFormat="1" applyFont="1" applyFill="1" applyBorder="1" applyAlignment="1">
      <alignment vertical="center" wrapText="1"/>
    </xf>
    <xf numFmtId="174" fontId="0" fillId="0" borderId="77" xfId="42" applyNumberFormat="1" applyFont="1" applyFill="1" applyBorder="1" applyAlignment="1">
      <alignment vertical="center" wrapText="1"/>
    </xf>
    <xf numFmtId="174" fontId="0" fillId="0" borderId="78" xfId="42" applyNumberFormat="1" applyFont="1" applyFill="1" applyBorder="1" applyAlignment="1">
      <alignment vertical="center" wrapText="1"/>
    </xf>
    <xf numFmtId="174" fontId="0" fillId="0" borderId="79" xfId="42" applyNumberFormat="1" applyFont="1" applyFill="1" applyBorder="1" applyAlignment="1">
      <alignment vertical="center" wrapText="1"/>
    </xf>
    <xf numFmtId="180" fontId="2" fillId="0" borderId="41" xfId="42" applyNumberFormat="1" applyFont="1" applyFill="1" applyBorder="1" applyAlignment="1" quotePrefix="1">
      <alignment horizontal="center" vertical="center" wrapText="1"/>
    </xf>
    <xf numFmtId="174" fontId="2" fillId="0" borderId="54" xfId="42" applyNumberFormat="1" applyFont="1" applyFill="1" applyBorder="1" applyAlignment="1">
      <alignment vertical="top" wrapText="1"/>
    </xf>
    <xf numFmtId="0" fontId="0" fillId="0" borderId="0" xfId="0" applyFont="1" applyBorder="1" applyAlignment="1">
      <alignment horizontal="left"/>
    </xf>
    <xf numFmtId="174" fontId="0" fillId="0" borderId="0" xfId="42" applyNumberFormat="1" applyFont="1" applyBorder="1" applyAlignment="1">
      <alignment/>
    </xf>
    <xf numFmtId="169" fontId="25" fillId="0" borderId="0" xfId="0" applyNumberFormat="1" applyFont="1" applyFill="1" applyAlignment="1">
      <alignment/>
    </xf>
    <xf numFmtId="169" fontId="25" fillId="0" borderId="0" xfId="0" applyNumberFormat="1" applyFont="1" applyFill="1" applyBorder="1" applyAlignment="1">
      <alignment/>
    </xf>
    <xf numFmtId="171" fontId="43" fillId="0" borderId="0" xfId="42" applyFont="1" applyFill="1" applyAlignment="1">
      <alignment/>
    </xf>
    <xf numFmtId="171" fontId="25" fillId="0" borderId="0" xfId="42" applyFont="1" applyFill="1" applyAlignment="1">
      <alignment/>
    </xf>
    <xf numFmtId="182" fontId="39" fillId="0" borderId="18" xfId="42" applyNumberFormat="1" applyFont="1" applyFill="1" applyBorder="1" applyAlignment="1">
      <alignment/>
    </xf>
    <xf numFmtId="169" fontId="39" fillId="0" borderId="0" xfId="0" applyNumberFormat="1" applyFont="1" applyFill="1" applyAlignment="1">
      <alignment horizontal="left"/>
    </xf>
    <xf numFmtId="169" fontId="39" fillId="0" borderId="0" xfId="0" applyNumberFormat="1" applyFont="1" applyFill="1" applyAlignment="1">
      <alignment/>
    </xf>
    <xf numFmtId="0" fontId="39" fillId="0" borderId="0" xfId="0" applyFont="1" applyFill="1" applyAlignment="1">
      <alignment horizontal="left"/>
    </xf>
    <xf numFmtId="0" fontId="25" fillId="0" borderId="0" xfId="0" applyFont="1" applyFill="1" applyAlignment="1">
      <alignment horizontal="left"/>
    </xf>
    <xf numFmtId="169" fontId="25" fillId="0" borderId="0" xfId="0" applyNumberFormat="1" applyFont="1" applyFill="1" applyAlignment="1">
      <alignment horizontal="left"/>
    </xf>
    <xf numFmtId="43" fontId="25" fillId="0" borderId="0" xfId="42" applyNumberFormat="1" applyFont="1" applyFill="1" applyAlignment="1">
      <alignment horizontal="left"/>
    </xf>
    <xf numFmtId="169" fontId="25" fillId="0" borderId="0" xfId="0" applyNumberFormat="1" applyFont="1" applyFill="1" applyBorder="1" applyAlignment="1">
      <alignment horizontal="left"/>
    </xf>
    <xf numFmtId="171" fontId="43" fillId="0" borderId="0" xfId="42" applyFont="1" applyFill="1" applyAlignment="1">
      <alignment horizontal="left"/>
    </xf>
    <xf numFmtId="171" fontId="25" fillId="0" borderId="0" xfId="42" applyFont="1" applyFill="1" applyAlignment="1">
      <alignment horizontal="left"/>
    </xf>
    <xf numFmtId="182" fontId="25" fillId="0" borderId="0" xfId="42" applyNumberFormat="1" applyFont="1" applyFill="1" applyAlignment="1">
      <alignment horizontal="left"/>
    </xf>
    <xf numFmtId="182" fontId="25" fillId="0" borderId="0" xfId="0" applyNumberFormat="1" applyFont="1" applyFill="1" applyAlignment="1">
      <alignment horizontal="left"/>
    </xf>
    <xf numFmtId="169" fontId="25" fillId="0" borderId="0" xfId="42" applyNumberFormat="1" applyFont="1" applyFill="1" applyAlignment="1">
      <alignment horizontal="left"/>
    </xf>
    <xf numFmtId="169" fontId="39" fillId="0" borderId="0" xfId="42" applyNumberFormat="1" applyFont="1" applyFill="1" applyAlignment="1">
      <alignment horizontal="left"/>
    </xf>
    <xf numFmtId="169" fontId="39" fillId="0" borderId="0" xfId="0" applyNumberFormat="1" applyFont="1" applyFill="1" applyBorder="1" applyAlignment="1">
      <alignment horizontal="left"/>
    </xf>
    <xf numFmtId="182" fontId="25" fillId="0" borderId="0" xfId="42" applyNumberFormat="1" applyFont="1" applyFill="1" applyAlignment="1">
      <alignment horizontal="left" vertical="top"/>
    </xf>
    <xf numFmtId="182" fontId="25" fillId="0" borderId="0" xfId="0" applyNumberFormat="1" applyFont="1" applyFill="1" applyAlignment="1">
      <alignment horizontal="left" vertical="top"/>
    </xf>
    <xf numFmtId="182" fontId="39" fillId="0" borderId="18" xfId="42" applyNumberFormat="1" applyFont="1" applyFill="1" applyBorder="1" applyAlignment="1">
      <alignment horizontal="left" vertical="top"/>
    </xf>
    <xf numFmtId="0" fontId="52" fillId="0" borderId="0" xfId="0" applyFont="1" applyFill="1" applyBorder="1" applyAlignment="1">
      <alignment vertical="top" wrapText="1"/>
    </xf>
    <xf numFmtId="169" fontId="0" fillId="0" borderId="27" xfId="0" applyNumberFormat="1" applyFont="1" applyBorder="1" applyAlignment="1">
      <alignment/>
    </xf>
    <xf numFmtId="174" fontId="20" fillId="0" borderId="56" xfId="42" applyNumberFormat="1" applyFont="1" applyFill="1" applyBorder="1" applyAlignment="1">
      <alignment horizontal="right"/>
    </xf>
    <xf numFmtId="174" fontId="23" fillId="0" borderId="45" xfId="42" applyNumberFormat="1" applyFont="1" applyFill="1" applyBorder="1" applyAlignment="1">
      <alignment/>
    </xf>
    <xf numFmtId="41" fontId="0" fillId="0" borderId="0" xfId="0" applyNumberFormat="1" applyFont="1" applyFill="1" applyAlignment="1">
      <alignment/>
    </xf>
    <xf numFmtId="41" fontId="23" fillId="0" borderId="69" xfId="0" applyNumberFormat="1" applyFont="1" applyFill="1" applyBorder="1" applyAlignment="1">
      <alignment vertical="center" wrapText="1"/>
    </xf>
    <xf numFmtId="41" fontId="23" fillId="0" borderId="24" xfId="0" applyNumberFormat="1" applyFont="1" applyFill="1" applyBorder="1" applyAlignment="1">
      <alignment vertical="center" wrapText="1"/>
    </xf>
    <xf numFmtId="41" fontId="20" fillId="0" borderId="24" xfId="0" applyNumberFormat="1" applyFont="1" applyFill="1" applyBorder="1" applyAlignment="1">
      <alignment/>
    </xf>
    <xf numFmtId="41" fontId="23" fillId="0" borderId="28" xfId="0" applyNumberFormat="1" applyFont="1" applyFill="1" applyBorder="1" applyAlignment="1">
      <alignment/>
    </xf>
    <xf numFmtId="41" fontId="23" fillId="0" borderId="28" xfId="42" applyNumberFormat="1" applyFont="1" applyFill="1" applyBorder="1" applyAlignment="1">
      <alignment/>
    </xf>
    <xf numFmtId="41" fontId="23" fillId="0" borderId="0" xfId="0" applyNumberFormat="1" applyFont="1" applyFill="1" applyBorder="1" applyAlignment="1">
      <alignment/>
    </xf>
    <xf numFmtId="169" fontId="2" fillId="0" borderId="36" xfId="0" applyNumberFormat="1" applyFont="1" applyFill="1" applyBorder="1" applyAlignment="1">
      <alignment/>
    </xf>
    <xf numFmtId="169" fontId="0" fillId="0" borderId="28" xfId="0" applyNumberFormat="1" applyFont="1" applyFill="1" applyBorder="1" applyAlignment="1">
      <alignment/>
    </xf>
    <xf numFmtId="169" fontId="2" fillId="0" borderId="71" xfId="0" applyNumberFormat="1" applyFont="1" applyFill="1" applyBorder="1" applyAlignment="1">
      <alignment/>
    </xf>
    <xf numFmtId="169" fontId="0" fillId="0" borderId="29" xfId="0" applyNumberFormat="1" applyFont="1" applyFill="1" applyBorder="1" applyAlignment="1">
      <alignment/>
    </xf>
    <xf numFmtId="171" fontId="23" fillId="0" borderId="54" xfId="42" applyFont="1" applyFill="1" applyBorder="1" applyAlignment="1">
      <alignment/>
    </xf>
    <xf numFmtId="174" fontId="23" fillId="0" borderId="54" xfId="42" applyNumberFormat="1" applyFont="1" applyFill="1" applyBorder="1" applyAlignment="1">
      <alignment/>
    </xf>
    <xf numFmtId="0" fontId="23" fillId="0" borderId="23" xfId="0" applyFont="1" applyFill="1" applyBorder="1" applyAlignment="1">
      <alignment/>
    </xf>
    <xf numFmtId="41" fontId="23" fillId="0" borderId="10" xfId="0" applyNumberFormat="1" applyFont="1" applyFill="1" applyBorder="1" applyAlignment="1">
      <alignment/>
    </xf>
    <xf numFmtId="174" fontId="23" fillId="0" borderId="10" xfId="0" applyNumberFormat="1" applyFont="1" applyFill="1" applyBorder="1" applyAlignment="1">
      <alignment/>
    </xf>
    <xf numFmtId="174" fontId="23" fillId="0" borderId="10" xfId="42" applyNumberFormat="1" applyFont="1" applyFill="1" applyBorder="1" applyAlignment="1">
      <alignment/>
    </xf>
    <xf numFmtId="174" fontId="23" fillId="0" borderId="16" xfId="0" applyNumberFormat="1" applyFont="1" applyFill="1" applyBorder="1" applyAlignment="1">
      <alignment/>
    </xf>
    <xf numFmtId="169" fontId="2" fillId="0" borderId="30" xfId="0" applyNumberFormat="1" applyFont="1" applyFill="1" applyBorder="1" applyAlignment="1">
      <alignment horizontal="center"/>
    </xf>
    <xf numFmtId="169" fontId="2" fillId="0" borderId="48" xfId="0" applyNumberFormat="1" applyFont="1" applyFill="1" applyBorder="1" applyAlignment="1">
      <alignment horizontal="center"/>
    </xf>
    <xf numFmtId="169" fontId="2" fillId="0" borderId="54" xfId="0" applyNumberFormat="1" applyFont="1" applyFill="1" applyBorder="1" applyAlignment="1">
      <alignment horizontal="center"/>
    </xf>
    <xf numFmtId="174" fontId="0" fillId="0" borderId="27" xfId="42" applyNumberFormat="1" applyFont="1" applyFill="1" applyBorder="1" applyAlignment="1">
      <alignment/>
    </xf>
    <xf numFmtId="169" fontId="0" fillId="0" borderId="25" xfId="0" applyNumberFormat="1" applyFont="1" applyFill="1" applyBorder="1" applyAlignment="1">
      <alignment/>
    </xf>
    <xf numFmtId="3" fontId="0" fillId="0" borderId="55" xfId="0" applyNumberFormat="1" applyFont="1" applyFill="1" applyBorder="1" applyAlignment="1">
      <alignment/>
    </xf>
    <xf numFmtId="169" fontId="0" fillId="0" borderId="56" xfId="0" applyNumberFormat="1" applyFont="1" applyFill="1" applyBorder="1" applyAlignment="1">
      <alignment/>
    </xf>
    <xf numFmtId="169" fontId="0" fillId="0" borderId="62" xfId="0" applyNumberFormat="1" applyFont="1" applyFill="1" applyBorder="1" applyAlignment="1">
      <alignment/>
    </xf>
    <xf numFmtId="169" fontId="0" fillId="0" borderId="56" xfId="0" applyNumberFormat="1" applyFont="1" applyFill="1" applyBorder="1" applyAlignment="1">
      <alignment/>
    </xf>
    <xf numFmtId="169" fontId="0" fillId="0" borderId="56" xfId="0" applyNumberFormat="1" applyFont="1" applyFill="1" applyBorder="1" applyAlignment="1">
      <alignment/>
    </xf>
    <xf numFmtId="3" fontId="0" fillId="0" borderId="57" xfId="0" applyNumberFormat="1" applyFont="1" applyFill="1" applyBorder="1" applyAlignment="1">
      <alignment/>
    </xf>
    <xf numFmtId="0" fontId="2" fillId="0" borderId="27" xfId="0" applyFont="1" applyFill="1" applyBorder="1" applyAlignment="1">
      <alignment horizontal="left"/>
    </xf>
    <xf numFmtId="169" fontId="0" fillId="0" borderId="49" xfId="0" applyNumberFormat="1" applyFont="1" applyFill="1" applyBorder="1" applyAlignment="1">
      <alignment/>
    </xf>
    <xf numFmtId="3" fontId="0" fillId="0" borderId="38" xfId="0" applyNumberFormat="1" applyFont="1" applyFill="1" applyBorder="1" applyAlignment="1">
      <alignment/>
    </xf>
    <xf numFmtId="187" fontId="25" fillId="0" borderId="0" xfId="0" applyNumberFormat="1" applyFont="1" applyFill="1" applyBorder="1" applyAlignment="1">
      <alignment horizontal="left" vertical="top"/>
    </xf>
    <xf numFmtId="169" fontId="51" fillId="0" borderId="0" xfId="0" applyNumberFormat="1" applyFont="1" applyFill="1" applyBorder="1" applyAlignment="1">
      <alignment/>
    </xf>
    <xf numFmtId="169" fontId="52" fillId="0" borderId="0" xfId="0" applyNumberFormat="1" applyFont="1" applyFill="1" applyBorder="1" applyAlignment="1">
      <alignment/>
    </xf>
    <xf numFmtId="169" fontId="51" fillId="0" borderId="18" xfId="0" applyNumberFormat="1" applyFont="1" applyFill="1" applyBorder="1" applyAlignment="1">
      <alignment/>
    </xf>
    <xf numFmtId="0" fontId="51" fillId="0" borderId="0" xfId="0" applyFont="1" applyFill="1" applyBorder="1" applyAlignment="1">
      <alignment horizontal="right"/>
    </xf>
    <xf numFmtId="0" fontId="51" fillId="0" borderId="0" xfId="0" applyFont="1" applyFill="1" applyBorder="1" applyAlignment="1">
      <alignment horizontal="left"/>
    </xf>
    <xf numFmtId="41" fontId="25" fillId="0" borderId="0" xfId="42" applyNumberFormat="1" applyFont="1" applyFill="1" applyBorder="1" applyAlignment="1">
      <alignment horizontal="left" vertical="top"/>
    </xf>
    <xf numFmtId="41" fontId="25" fillId="0" borderId="49" xfId="42" applyNumberFormat="1" applyFont="1" applyFill="1" applyBorder="1" applyAlignment="1">
      <alignment horizontal="left" vertical="top"/>
    </xf>
    <xf numFmtId="41" fontId="25" fillId="0" borderId="0" xfId="42" applyNumberFormat="1" applyFont="1" applyFill="1" applyBorder="1" applyAlignment="1">
      <alignment horizontal="left" vertical="top" wrapText="1"/>
    </xf>
    <xf numFmtId="41" fontId="25" fillId="0" borderId="0" xfId="42" applyNumberFormat="1" applyFont="1" applyFill="1" applyAlignment="1">
      <alignment horizontal="left" vertical="top"/>
    </xf>
    <xf numFmtId="41" fontId="25" fillId="0" borderId="0" xfId="0" applyNumberFormat="1" applyFont="1" applyFill="1" applyBorder="1" applyAlignment="1">
      <alignment horizontal="left" vertical="top"/>
    </xf>
    <xf numFmtId="41" fontId="25" fillId="0" borderId="0" xfId="0" applyNumberFormat="1" applyFont="1" applyFill="1" applyAlignment="1">
      <alignment horizontal="left" vertical="top"/>
    </xf>
    <xf numFmtId="41" fontId="25" fillId="0" borderId="0" xfId="42" applyNumberFormat="1" applyFont="1" applyFill="1" applyAlignment="1">
      <alignment horizontal="right" vertical="top"/>
    </xf>
    <xf numFmtId="41" fontId="39" fillId="0" borderId="0" xfId="0" applyNumberFormat="1" applyFont="1" applyFill="1" applyAlignment="1">
      <alignment horizontal="right" vertical="top"/>
    </xf>
    <xf numFmtId="41" fontId="39" fillId="0" borderId="0" xfId="0" applyNumberFormat="1" applyFont="1" applyFill="1" applyAlignment="1">
      <alignment horizontal="left" vertical="top" wrapText="1"/>
    </xf>
    <xf numFmtId="41" fontId="39" fillId="0" borderId="0" xfId="42" applyNumberFormat="1" applyFont="1" applyFill="1" applyBorder="1" applyAlignment="1">
      <alignment horizontal="left" vertical="top"/>
    </xf>
    <xf numFmtId="41" fontId="39" fillId="0" borderId="0" xfId="0" applyNumberFormat="1" applyFont="1" applyFill="1" applyBorder="1" applyAlignment="1">
      <alignment horizontal="left" vertical="top"/>
    </xf>
    <xf numFmtId="41" fontId="41" fillId="0" borderId="0" xfId="0" applyNumberFormat="1" applyFont="1" applyFill="1" applyAlignment="1">
      <alignment horizontal="left" vertical="top" wrapText="1"/>
    </xf>
    <xf numFmtId="41" fontId="25" fillId="0" borderId="0" xfId="0" applyNumberFormat="1" applyFont="1" applyFill="1" applyAlignment="1">
      <alignment horizontal="left" vertical="top" wrapText="1"/>
    </xf>
    <xf numFmtId="41" fontId="39" fillId="0" borderId="0" xfId="0" applyNumberFormat="1" applyFont="1" applyFill="1" applyAlignment="1">
      <alignment horizontal="left" vertical="top"/>
    </xf>
    <xf numFmtId="41" fontId="25" fillId="0" borderId="29" xfId="42" applyNumberFormat="1" applyFont="1" applyFill="1" applyBorder="1" applyAlignment="1">
      <alignment horizontal="left" vertical="top"/>
    </xf>
    <xf numFmtId="41" fontId="25" fillId="0" borderId="29" xfId="0" applyNumberFormat="1" applyFont="1" applyFill="1" applyBorder="1" applyAlignment="1">
      <alignment horizontal="left" vertical="top"/>
    </xf>
    <xf numFmtId="41" fontId="25" fillId="0" borderId="24" xfId="42" applyNumberFormat="1" applyFont="1" applyFill="1" applyBorder="1" applyAlignment="1">
      <alignment horizontal="left" vertical="top"/>
    </xf>
    <xf numFmtId="41" fontId="25" fillId="0" borderId="24" xfId="0" applyNumberFormat="1" applyFont="1" applyFill="1" applyBorder="1" applyAlignment="1">
      <alignment horizontal="left" vertical="top"/>
    </xf>
    <xf numFmtId="41" fontId="25" fillId="0" borderId="24" xfId="42" applyNumberFormat="1" applyFont="1" applyFill="1" applyBorder="1" applyAlignment="1">
      <alignment horizontal="right" vertical="top"/>
    </xf>
    <xf numFmtId="41" fontId="25" fillId="0" borderId="25" xfId="42" applyNumberFormat="1" applyFont="1" applyFill="1" applyBorder="1" applyAlignment="1">
      <alignment horizontal="left" vertical="top"/>
    </xf>
    <xf numFmtId="41" fontId="25" fillId="0" borderId="25" xfId="0" applyNumberFormat="1" applyFont="1" applyFill="1" applyBorder="1" applyAlignment="1">
      <alignment horizontal="left" vertical="top"/>
    </xf>
    <xf numFmtId="41" fontId="39" fillId="0" borderId="18" xfId="42" applyNumberFormat="1" applyFont="1" applyFill="1" applyBorder="1" applyAlignment="1">
      <alignment horizontal="left" vertical="top"/>
    </xf>
    <xf numFmtId="41" fontId="39" fillId="0" borderId="0" xfId="0" applyNumberFormat="1" applyFont="1" applyFill="1" applyAlignment="1">
      <alignment horizontal="right" vertical="top" wrapText="1"/>
    </xf>
    <xf numFmtId="41" fontId="25" fillId="0" borderId="0" xfId="0" applyNumberFormat="1" applyFont="1" applyFill="1" applyAlignment="1">
      <alignment horizontal="center" vertical="top"/>
    </xf>
    <xf numFmtId="41" fontId="39" fillId="0" borderId="0" xfId="0" applyNumberFormat="1" applyFont="1" applyFill="1" applyBorder="1" applyAlignment="1">
      <alignment horizontal="right" vertical="top"/>
    </xf>
    <xf numFmtId="41" fontId="25" fillId="0" borderId="0" xfId="0" applyNumberFormat="1" applyFont="1" applyFill="1" applyAlignment="1">
      <alignment horizontal="right" vertical="top"/>
    </xf>
    <xf numFmtId="41" fontId="39" fillId="0" borderId="0" xfId="0" applyNumberFormat="1" applyFont="1" applyFill="1" applyAlignment="1">
      <alignment horizontal="right"/>
    </xf>
    <xf numFmtId="187" fontId="25" fillId="0" borderId="0" xfId="42" applyNumberFormat="1" applyFont="1" applyFill="1" applyBorder="1" applyAlignment="1">
      <alignment horizontal="right" vertical="top"/>
    </xf>
    <xf numFmtId="169" fontId="39" fillId="0" borderId="0" xfId="42" applyNumberFormat="1" applyFont="1" applyFill="1" applyAlignment="1">
      <alignment horizontal="left" vertical="top" wrapText="1" indent="6"/>
    </xf>
    <xf numFmtId="169" fontId="39" fillId="0" borderId="0" xfId="0" applyNumberFormat="1" applyFont="1" applyFill="1" applyBorder="1" applyAlignment="1">
      <alignment horizontal="left" vertical="top" indent="3"/>
    </xf>
    <xf numFmtId="169" fontId="25" fillId="0" borderId="0" xfId="42" applyNumberFormat="1" applyFont="1" applyFill="1" applyBorder="1" applyAlignment="1">
      <alignment horizontal="left" vertical="top" indent="3"/>
    </xf>
    <xf numFmtId="169" fontId="25" fillId="0" borderId="0" xfId="42" applyNumberFormat="1" applyFont="1" applyFill="1" applyBorder="1" applyAlignment="1">
      <alignment horizontal="left" vertical="top" indent="6"/>
    </xf>
    <xf numFmtId="169" fontId="25" fillId="0" borderId="0" xfId="0" applyNumberFormat="1" applyFont="1" applyFill="1" applyBorder="1" applyAlignment="1">
      <alignment horizontal="left" vertical="top" indent="3"/>
    </xf>
    <xf numFmtId="169" fontId="39" fillId="0" borderId="0" xfId="42" applyNumberFormat="1" applyFont="1" applyFill="1" applyBorder="1" applyAlignment="1">
      <alignment horizontal="left" vertical="top" indent="6"/>
    </xf>
    <xf numFmtId="169" fontId="39" fillId="0" borderId="0" xfId="42" applyNumberFormat="1" applyFont="1" applyFill="1" applyBorder="1" applyAlignment="1">
      <alignment horizontal="left" vertical="top" indent="3"/>
    </xf>
    <xf numFmtId="43" fontId="25" fillId="0" borderId="0" xfId="0" applyNumberFormat="1" applyFont="1" applyFill="1" applyBorder="1" applyAlignment="1">
      <alignment horizontal="left" vertical="top"/>
    </xf>
    <xf numFmtId="169" fontId="25" fillId="0" borderId="0" xfId="42" applyNumberFormat="1" applyFont="1" applyFill="1" applyBorder="1" applyAlignment="1">
      <alignment horizontal="left" vertical="top" wrapText="1"/>
    </xf>
    <xf numFmtId="169" fontId="25" fillId="0" borderId="0" xfId="42" applyNumberFormat="1" applyFont="1" applyFill="1" applyAlignment="1">
      <alignment horizontal="right" vertical="top"/>
    </xf>
    <xf numFmtId="41" fontId="25" fillId="0" borderId="14" xfId="42" applyNumberFormat="1" applyFont="1" applyFill="1" applyBorder="1" applyAlignment="1">
      <alignment horizontal="right" vertical="top"/>
    </xf>
    <xf numFmtId="41" fontId="25" fillId="0" borderId="18" xfId="42" applyNumberFormat="1" applyFont="1" applyFill="1" applyBorder="1" applyAlignment="1">
      <alignment horizontal="right" vertical="top"/>
    </xf>
    <xf numFmtId="43" fontId="25" fillId="0" borderId="0" xfId="42" applyNumberFormat="1" applyFont="1" applyFill="1" applyBorder="1" applyAlignment="1">
      <alignment horizontal="right" vertical="top"/>
    </xf>
    <xf numFmtId="41" fontId="39" fillId="0" borderId="18" xfId="0" applyNumberFormat="1" applyFont="1" applyFill="1" applyBorder="1" applyAlignment="1">
      <alignment horizontal="left" vertical="top"/>
    </xf>
    <xf numFmtId="41" fontId="25" fillId="0" borderId="0" xfId="0" applyNumberFormat="1" applyFont="1" applyFill="1" applyAlignment="1">
      <alignment/>
    </xf>
    <xf numFmtId="41" fontId="39" fillId="0" borderId="0" xfId="0" applyNumberFormat="1" applyFont="1" applyFill="1" applyAlignment="1">
      <alignment/>
    </xf>
    <xf numFmtId="41" fontId="39" fillId="0" borderId="0" xfId="0" applyNumberFormat="1" applyFont="1" applyFill="1" applyAlignment="1">
      <alignment horizontal="center" vertical="top"/>
    </xf>
    <xf numFmtId="41" fontId="25" fillId="0" borderId="0" xfId="42" applyNumberFormat="1" applyFont="1" applyFill="1" applyAlignment="1">
      <alignment horizontal="left" vertical="top" wrapText="1"/>
    </xf>
    <xf numFmtId="41" fontId="25" fillId="0" borderId="0" xfId="0" applyNumberFormat="1" applyFont="1" applyFill="1" applyBorder="1" applyAlignment="1">
      <alignment horizontal="left" vertical="top" wrapText="1"/>
    </xf>
    <xf numFmtId="187" fontId="25" fillId="0" borderId="0" xfId="42" applyNumberFormat="1" applyFont="1" applyFill="1" applyAlignment="1">
      <alignment horizontal="left" vertical="top"/>
    </xf>
    <xf numFmtId="187" fontId="25" fillId="0" borderId="0" xfId="0" applyNumberFormat="1" applyFont="1" applyFill="1" applyAlignment="1">
      <alignment horizontal="left" vertical="top"/>
    </xf>
    <xf numFmtId="187" fontId="25" fillId="0" borderId="0" xfId="42" applyNumberFormat="1" applyFont="1" applyFill="1" applyAlignment="1">
      <alignment/>
    </xf>
    <xf numFmtId="187" fontId="25" fillId="0" borderId="0" xfId="0" applyNumberFormat="1" applyFont="1" applyFill="1" applyBorder="1" applyAlignment="1">
      <alignment/>
    </xf>
    <xf numFmtId="187" fontId="25" fillId="0" borderId="0" xfId="0" applyNumberFormat="1" applyFont="1" applyFill="1" applyAlignment="1">
      <alignment/>
    </xf>
    <xf numFmtId="187" fontId="25" fillId="0" borderId="0" xfId="42" applyNumberFormat="1" applyFont="1" applyFill="1" applyAlignment="1">
      <alignment horizontal="right" vertical="top"/>
    </xf>
    <xf numFmtId="187" fontId="39" fillId="0" borderId="18" xfId="42" applyNumberFormat="1" applyFont="1" applyFill="1" applyBorder="1" applyAlignment="1">
      <alignment horizontal="right" vertical="top"/>
    </xf>
    <xf numFmtId="41" fontId="39" fillId="0" borderId="0" xfId="42" applyNumberFormat="1" applyFont="1" applyFill="1" applyAlignment="1">
      <alignment horizontal="left" vertical="top"/>
    </xf>
    <xf numFmtId="41" fontId="39" fillId="0" borderId="80" xfId="42" applyNumberFormat="1" applyFont="1" applyFill="1" applyBorder="1" applyAlignment="1">
      <alignment horizontal="left" vertical="top" wrapText="1"/>
    </xf>
    <xf numFmtId="171" fontId="25" fillId="0" borderId="0" xfId="42" applyNumberFormat="1" applyFont="1" applyFill="1" applyBorder="1" applyAlignment="1">
      <alignment horizontal="right" vertical="top"/>
    </xf>
    <xf numFmtId="43" fontId="39" fillId="0" borderId="0" xfId="42" applyNumberFormat="1" applyFont="1" applyFill="1" applyAlignment="1">
      <alignment horizontal="right" wrapText="1"/>
    </xf>
    <xf numFmtId="169" fontId="39" fillId="0" borderId="0" xfId="0" applyNumberFormat="1" applyFont="1" applyFill="1" applyAlignment="1">
      <alignment horizontal="right"/>
    </xf>
    <xf numFmtId="43" fontId="39" fillId="0" borderId="0" xfId="42" applyNumberFormat="1" applyFont="1" applyFill="1" applyAlignment="1">
      <alignment horizontal="right"/>
    </xf>
    <xf numFmtId="182" fontId="39" fillId="0" borderId="0" xfId="42" applyNumberFormat="1" applyFont="1" applyFill="1" applyAlignment="1">
      <alignment horizontal="right"/>
    </xf>
    <xf numFmtId="182" fontId="39" fillId="0" borderId="0" xfId="42" applyNumberFormat="1" applyFont="1" applyFill="1" applyAlignment="1">
      <alignment horizontal="right" wrapText="1"/>
    </xf>
    <xf numFmtId="169" fontId="25" fillId="0" borderId="24" xfId="0" applyNumberFormat="1" applyFont="1" applyFill="1" applyBorder="1" applyAlignment="1">
      <alignment horizontal="left" vertical="top"/>
    </xf>
    <xf numFmtId="169" fontId="25" fillId="0" borderId="29" xfId="42" applyNumberFormat="1" applyFont="1" applyFill="1" applyBorder="1" applyAlignment="1">
      <alignment horizontal="left" vertical="top" indent="3"/>
    </xf>
    <xf numFmtId="169" fontId="25" fillId="0" borderId="25" xfId="42" applyNumberFormat="1" applyFont="1" applyFill="1" applyBorder="1" applyAlignment="1">
      <alignment horizontal="left" vertical="top" indent="3"/>
    </xf>
    <xf numFmtId="169" fontId="25" fillId="0" borderId="24" xfId="42" applyNumberFormat="1" applyFont="1" applyFill="1" applyBorder="1" applyAlignment="1">
      <alignment horizontal="left" vertical="top" indent="3"/>
    </xf>
    <xf numFmtId="43" fontId="39" fillId="0" borderId="0" xfId="42" applyNumberFormat="1" applyFont="1" applyFill="1" applyBorder="1" applyAlignment="1">
      <alignment horizontal="left" vertical="top"/>
    </xf>
    <xf numFmtId="43" fontId="39" fillId="0" borderId="0" xfId="0" applyNumberFormat="1" applyFont="1" applyFill="1" applyBorder="1" applyAlignment="1">
      <alignment horizontal="left" vertical="top"/>
    </xf>
    <xf numFmtId="43" fontId="25" fillId="0" borderId="0" xfId="42" applyNumberFormat="1" applyFont="1" applyFill="1" applyBorder="1" applyAlignment="1">
      <alignment horizontal="left" vertical="top"/>
    </xf>
    <xf numFmtId="182" fontId="25" fillId="0" borderId="0" xfId="42" applyNumberFormat="1" applyFont="1" applyFill="1" applyBorder="1" applyAlignment="1">
      <alignment horizontal="left" vertical="top"/>
    </xf>
    <xf numFmtId="182" fontId="25" fillId="0" borderId="0" xfId="42" applyNumberFormat="1" applyFont="1" applyFill="1" applyBorder="1" applyAlignment="1">
      <alignment horizontal="right" vertical="top"/>
    </xf>
    <xf numFmtId="0" fontId="25" fillId="0" borderId="0" xfId="0" applyFont="1" applyFill="1" applyAlignment="1">
      <alignment horizontal="center"/>
    </xf>
    <xf numFmtId="171" fontId="43" fillId="0" borderId="0" xfId="42" applyFont="1" applyFill="1" applyAlignment="1">
      <alignment horizontal="center"/>
    </xf>
    <xf numFmtId="171" fontId="25" fillId="0" borderId="0" xfId="42" applyFont="1" applyFill="1" applyAlignment="1">
      <alignment horizontal="center"/>
    </xf>
    <xf numFmtId="169" fontId="20" fillId="0" borderId="24" xfId="0" applyNumberFormat="1" applyFont="1" applyFill="1" applyBorder="1" applyAlignment="1">
      <alignment/>
    </xf>
    <xf numFmtId="169" fontId="20" fillId="0" borderId="35" xfId="0" applyNumberFormat="1" applyFont="1" applyFill="1" applyBorder="1" applyAlignment="1">
      <alignment/>
    </xf>
    <xf numFmtId="169" fontId="20" fillId="0" borderId="54" xfId="0" applyNumberFormat="1" applyFont="1" applyFill="1" applyBorder="1" applyAlignment="1">
      <alignment/>
    </xf>
    <xf numFmtId="41" fontId="20" fillId="0" borderId="35" xfId="0" applyNumberFormat="1" applyFont="1" applyFill="1" applyBorder="1" applyAlignment="1">
      <alignment/>
    </xf>
    <xf numFmtId="49" fontId="39" fillId="0" borderId="0" xfId="0" applyNumberFormat="1" applyFont="1" applyFill="1" applyAlignment="1" quotePrefix="1">
      <alignment horizont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Alignment="1">
      <alignment horizontal="center" vertical="center"/>
    </xf>
    <xf numFmtId="169" fontId="20" fillId="0" borderId="0" xfId="0" applyNumberFormat="1" applyFont="1" applyFill="1" applyBorder="1" applyAlignment="1">
      <alignment/>
    </xf>
    <xf numFmtId="3" fontId="51" fillId="0" borderId="18" xfId="0" applyNumberFormat="1" applyFont="1" applyFill="1" applyBorder="1" applyAlignment="1">
      <alignment/>
    </xf>
    <xf numFmtId="178" fontId="25" fillId="0" borderId="0" xfId="42" applyNumberFormat="1" applyFont="1" applyFill="1" applyAlignment="1">
      <alignment horizontal="right" vertical="top"/>
    </xf>
    <xf numFmtId="0" fontId="45" fillId="0" borderId="0" xfId="0" applyFont="1" applyFill="1" applyAlignment="1">
      <alignment/>
    </xf>
    <xf numFmtId="171" fontId="25" fillId="0" borderId="29" xfId="42" applyNumberFormat="1" applyFont="1" applyFill="1" applyBorder="1" applyAlignment="1">
      <alignment horizontal="right" vertical="top"/>
    </xf>
    <xf numFmtId="174" fontId="25" fillId="0" borderId="24" xfId="42" applyNumberFormat="1" applyFont="1" applyFill="1" applyBorder="1" applyAlignment="1">
      <alignment horizontal="right" vertical="top" wrapText="1"/>
    </xf>
    <xf numFmtId="171" fontId="25" fillId="0" borderId="24" xfId="42" applyNumberFormat="1" applyFont="1" applyFill="1" applyBorder="1" applyAlignment="1">
      <alignment horizontal="right" vertical="top"/>
    </xf>
    <xf numFmtId="171" fontId="25" fillId="0" borderId="25" xfId="42" applyNumberFormat="1" applyFont="1" applyFill="1" applyBorder="1" applyAlignment="1">
      <alignment horizontal="right" vertical="top"/>
    </xf>
    <xf numFmtId="169" fontId="39" fillId="0" borderId="18" xfId="42" applyNumberFormat="1" applyFont="1" applyFill="1" applyBorder="1" applyAlignment="1">
      <alignment/>
    </xf>
    <xf numFmtId="0" fontId="25" fillId="0" borderId="0" xfId="0" applyFont="1" applyFill="1" applyAlignment="1">
      <alignment horizontal="center" wrapText="1"/>
    </xf>
    <xf numFmtId="169" fontId="25" fillId="0" borderId="0" xfId="0" applyNumberFormat="1" applyFont="1" applyFill="1" applyBorder="1" applyAlignment="1">
      <alignment horizontal="right"/>
    </xf>
    <xf numFmtId="169" fontId="25" fillId="0" borderId="18" xfId="42" applyNumberFormat="1" applyFont="1" applyFill="1" applyBorder="1" applyAlignment="1">
      <alignment horizontal="left" vertical="top"/>
    </xf>
    <xf numFmtId="0" fontId="25" fillId="0" borderId="0" xfId="0" applyFont="1" applyFill="1" applyAlignment="1">
      <alignment horizontal="right" wrapText="1"/>
    </xf>
    <xf numFmtId="0" fontId="25" fillId="0" borderId="0" xfId="0" applyFont="1" applyFill="1" applyAlignment="1">
      <alignment horizontal="right"/>
    </xf>
    <xf numFmtId="9" fontId="25" fillId="0" borderId="0" xfId="0" applyNumberFormat="1" applyFont="1" applyFill="1" applyBorder="1" applyAlignment="1">
      <alignment horizontal="right"/>
    </xf>
    <xf numFmtId="9" fontId="25" fillId="0" borderId="0" xfId="0" applyNumberFormat="1" applyFont="1" applyFill="1" applyBorder="1" applyAlignment="1">
      <alignment/>
    </xf>
    <xf numFmtId="49" fontId="25" fillId="0" borderId="0" xfId="0" applyNumberFormat="1" applyFont="1" applyFill="1" applyAlignment="1" quotePrefix="1">
      <alignment horizontal="center" vertical="top"/>
    </xf>
    <xf numFmtId="49" fontId="25" fillId="0" borderId="0" xfId="0" applyNumberFormat="1" applyFont="1" applyFill="1" applyAlignment="1" quotePrefix="1">
      <alignment horizontal="center"/>
    </xf>
    <xf numFmtId="169" fontId="25" fillId="0" borderId="0" xfId="42" applyNumberFormat="1" applyFont="1" applyFill="1" applyAlignment="1">
      <alignment horizontal="left" vertical="top" wrapText="1" indent="3"/>
    </xf>
    <xf numFmtId="169" fontId="25" fillId="0" borderId="0" xfId="0" applyNumberFormat="1" applyFont="1" applyFill="1" applyAlignment="1" quotePrefix="1">
      <alignment horizontal="left" vertical="top"/>
    </xf>
    <xf numFmtId="49" fontId="25" fillId="0" borderId="0" xfId="0" applyNumberFormat="1" applyFont="1" applyFill="1" applyAlignment="1">
      <alignment horizontal="center" vertical="top"/>
    </xf>
    <xf numFmtId="41" fontId="25" fillId="0" borderId="18" xfId="0" applyNumberFormat="1" applyFont="1" applyFill="1" applyBorder="1" applyAlignment="1">
      <alignment horizontal="left" vertical="top"/>
    </xf>
    <xf numFmtId="169" fontId="47" fillId="0" borderId="0" xfId="0" applyNumberFormat="1" applyFont="1" applyFill="1" applyAlignment="1">
      <alignment horizontal="left" vertical="top"/>
    </xf>
    <xf numFmtId="169" fontId="47" fillId="0" borderId="0" xfId="0" applyNumberFormat="1" applyFont="1" applyFill="1" applyAlignment="1">
      <alignment horizontal="right" vertical="top"/>
    </xf>
    <xf numFmtId="169" fontId="25" fillId="0" borderId="0" xfId="0" applyNumberFormat="1" applyFont="1" applyFill="1" applyBorder="1" applyAlignment="1">
      <alignment horizontal="right" vertical="top" wrapText="1"/>
    </xf>
    <xf numFmtId="169" fontId="25" fillId="0" borderId="0" xfId="0" applyNumberFormat="1" applyFont="1" applyFill="1" applyBorder="1" applyAlignment="1">
      <alignment horizontal="right" wrapText="1"/>
    </xf>
    <xf numFmtId="169" fontId="25" fillId="0" borderId="18" xfId="42" applyNumberFormat="1" applyFont="1" applyFill="1" applyBorder="1" applyAlignment="1">
      <alignment/>
    </xf>
    <xf numFmtId="0" fontId="23" fillId="0" borderId="0" xfId="0" applyFont="1" applyFill="1" applyAlignment="1">
      <alignment horizontal="center" vertical="center" wrapText="1"/>
    </xf>
    <xf numFmtId="0" fontId="23" fillId="0" borderId="0" xfId="0" applyFont="1" applyFill="1" applyAlignment="1">
      <alignment vertical="center" wrapText="1"/>
    </xf>
    <xf numFmtId="0" fontId="23" fillId="0" borderId="0" xfId="0" applyFont="1" applyFill="1" applyAlignment="1">
      <alignment/>
    </xf>
    <xf numFmtId="174" fontId="23" fillId="0" borderId="0" xfId="0" applyNumberFormat="1" applyFont="1" applyFill="1" applyAlignment="1">
      <alignment/>
    </xf>
    <xf numFmtId="0" fontId="20" fillId="0" borderId="0" xfId="0" applyFont="1" applyFill="1" applyBorder="1" applyAlignment="1">
      <alignment/>
    </xf>
    <xf numFmtId="174" fontId="20" fillId="0" borderId="0" xfId="42" applyNumberFormat="1" applyFont="1" applyFill="1" applyAlignment="1">
      <alignment/>
    </xf>
    <xf numFmtId="41" fontId="23" fillId="0" borderId="54" xfId="0" applyNumberFormat="1" applyFont="1" applyFill="1" applyBorder="1" applyAlignment="1">
      <alignment/>
    </xf>
    <xf numFmtId="169" fontId="25" fillId="0" borderId="0" xfId="0" applyNumberFormat="1" applyFont="1" applyFill="1" applyAlignment="1">
      <alignment horizontal="center" vertical="top"/>
    </xf>
    <xf numFmtId="0" fontId="21" fillId="0" borderId="0" xfId="0" applyFont="1" applyFill="1" applyAlignment="1">
      <alignment horizontal="center"/>
    </xf>
    <xf numFmtId="169" fontId="39" fillId="0" borderId="0" xfId="42" applyNumberFormat="1" applyFont="1" applyFill="1" applyAlignment="1">
      <alignment horizontal="right" vertical="top" wrapText="1"/>
    </xf>
    <xf numFmtId="169" fontId="39" fillId="0" borderId="0" xfId="42" applyNumberFormat="1" applyFont="1" applyFill="1" applyBorder="1" applyAlignment="1">
      <alignment horizontal="right" vertical="top"/>
    </xf>
    <xf numFmtId="182" fontId="39" fillId="0" borderId="18" xfId="0" applyNumberFormat="1" applyFont="1" applyFill="1" applyBorder="1" applyAlignment="1">
      <alignment/>
    </xf>
    <xf numFmtId="182" fontId="39" fillId="0" borderId="18" xfId="0" applyNumberFormat="1" applyFont="1" applyFill="1" applyBorder="1" applyAlignment="1">
      <alignment horizontal="left"/>
    </xf>
    <xf numFmtId="182" fontId="39" fillId="0" borderId="18" xfId="0" applyNumberFormat="1" applyFont="1" applyFill="1" applyBorder="1" applyAlignment="1">
      <alignment horizontal="left" vertical="top"/>
    </xf>
    <xf numFmtId="169" fontId="39" fillId="0" borderId="18" xfId="0" applyNumberFormat="1" applyFont="1" applyFill="1" applyBorder="1" applyAlignment="1">
      <alignment/>
    </xf>
    <xf numFmtId="169" fontId="39" fillId="0" borderId="18" xfId="0" applyNumberFormat="1" applyFont="1" applyFill="1" applyBorder="1" applyAlignment="1">
      <alignment horizontal="left" vertical="top" wrapText="1"/>
    </xf>
    <xf numFmtId="174" fontId="39" fillId="0" borderId="18" xfId="0" applyNumberFormat="1" applyFont="1" applyFill="1" applyBorder="1" applyAlignment="1">
      <alignment horizontal="left" vertical="top" wrapText="1"/>
    </xf>
    <xf numFmtId="174" fontId="39" fillId="0" borderId="0" xfId="0" applyNumberFormat="1" applyFont="1" applyFill="1" applyAlignment="1" quotePrefix="1">
      <alignment horizontal="right" vertical="top"/>
    </xf>
    <xf numFmtId="174" fontId="39" fillId="0" borderId="0" xfId="0" applyNumberFormat="1" applyFont="1" applyFill="1" applyAlignment="1">
      <alignment horizontal="right" vertical="top"/>
    </xf>
    <xf numFmtId="169" fontId="39" fillId="0" borderId="0" xfId="0" applyNumberFormat="1" applyFont="1" applyFill="1" applyBorder="1" applyAlignment="1">
      <alignment horizontal="right" vertical="top" wrapText="1"/>
    </xf>
    <xf numFmtId="182" fontId="39" fillId="0" borderId="18" xfId="0" applyNumberFormat="1" applyFont="1" applyFill="1" applyBorder="1" applyAlignment="1">
      <alignment/>
    </xf>
    <xf numFmtId="169" fontId="39" fillId="0" borderId="10" xfId="0" applyNumberFormat="1" applyFont="1" applyFill="1" applyBorder="1" applyAlignment="1">
      <alignment horizontal="right"/>
    </xf>
    <xf numFmtId="182" fontId="39" fillId="0" borderId="0" xfId="0" applyNumberFormat="1" applyFont="1" applyFill="1" applyAlignment="1">
      <alignment horizontal="right"/>
    </xf>
    <xf numFmtId="0" fontId="39" fillId="0" borderId="0" xfId="0" applyFont="1" applyFill="1" applyBorder="1" applyAlignment="1">
      <alignment horizontal="right"/>
    </xf>
    <xf numFmtId="0" fontId="51" fillId="0" borderId="0" xfId="0" applyFont="1" applyFill="1" applyBorder="1" applyAlignment="1">
      <alignment horizontal="right" wrapText="1"/>
    </xf>
    <xf numFmtId="0" fontId="40" fillId="0" borderId="0" xfId="0" applyNumberFormat="1" applyFont="1" applyFill="1" applyAlignment="1">
      <alignment horizontal="left" vertical="top" wrapText="1"/>
    </xf>
    <xf numFmtId="174" fontId="0" fillId="0" borderId="48" xfId="58" applyNumberFormat="1" applyFont="1" applyFill="1" applyBorder="1" applyAlignment="1">
      <alignment horizontal="right"/>
      <protection/>
    </xf>
    <xf numFmtId="174" fontId="0" fillId="0" borderId="28" xfId="58" applyNumberFormat="1" applyFont="1" applyFill="1" applyBorder="1" applyAlignment="1">
      <alignment horizontal="right"/>
      <protection/>
    </xf>
    <xf numFmtId="174" fontId="0" fillId="0" borderId="46" xfId="58" applyNumberFormat="1" applyFont="1" applyFill="1" applyBorder="1" applyAlignment="1">
      <alignment horizontal="right"/>
      <protection/>
    </xf>
    <xf numFmtId="169" fontId="2" fillId="0" borderId="45" xfId="0" applyNumberFormat="1" applyFont="1" applyFill="1" applyBorder="1" applyAlignment="1">
      <alignment horizontal="center"/>
    </xf>
    <xf numFmtId="169" fontId="0" fillId="0" borderId="38" xfId="0" applyNumberFormat="1" applyFont="1" applyFill="1" applyBorder="1" applyAlignment="1">
      <alignment/>
    </xf>
    <xf numFmtId="3" fontId="23" fillId="0" borderId="69" xfId="42" applyNumberFormat="1" applyFont="1" applyFill="1" applyBorder="1" applyAlignment="1">
      <alignment horizontal="center" vertical="center" wrapText="1"/>
    </xf>
    <xf numFmtId="3" fontId="23" fillId="0" borderId="24" xfId="42" applyNumberFormat="1" applyFont="1" applyFill="1" applyBorder="1" applyAlignment="1">
      <alignment vertical="center" wrapText="1"/>
    </xf>
    <xf numFmtId="3" fontId="20" fillId="0" borderId="24" xfId="42" applyNumberFormat="1" applyFont="1" applyFill="1" applyBorder="1" applyAlignment="1">
      <alignment/>
    </xf>
    <xf numFmtId="3" fontId="23" fillId="0" borderId="28" xfId="0" applyNumberFormat="1" applyFont="1" applyFill="1" applyBorder="1" applyAlignment="1">
      <alignment/>
    </xf>
    <xf numFmtId="3" fontId="23" fillId="0" borderId="28" xfId="42" applyNumberFormat="1" applyFont="1" applyFill="1" applyBorder="1" applyAlignment="1">
      <alignment/>
    </xf>
    <xf numFmtId="3" fontId="23" fillId="0" borderId="10" xfId="0" applyNumberFormat="1" applyFont="1" applyFill="1" applyBorder="1" applyAlignment="1">
      <alignment/>
    </xf>
    <xf numFmtId="3" fontId="23" fillId="0" borderId="0" xfId="0" applyNumberFormat="1" applyFont="1" applyFill="1" applyBorder="1" applyAlignment="1">
      <alignment/>
    </xf>
    <xf numFmtId="3" fontId="23" fillId="0" borderId="0" xfId="42" applyNumberFormat="1" applyFont="1" applyFill="1" applyBorder="1" applyAlignment="1">
      <alignment/>
    </xf>
    <xf numFmtId="0" fontId="2"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3" fontId="0" fillId="0" borderId="0" xfId="0" applyNumberFormat="1" applyFont="1" applyFill="1" applyAlignment="1">
      <alignment horizontal="center"/>
    </xf>
    <xf numFmtId="169" fontId="0" fillId="0" borderId="0" xfId="0" applyNumberFormat="1" applyFont="1" applyAlignment="1">
      <alignment horizontal="center"/>
    </xf>
    <xf numFmtId="174" fontId="0" fillId="0" borderId="0" xfId="42" applyNumberFormat="1" applyFont="1" applyBorder="1" applyAlignment="1">
      <alignment horizontal="center"/>
    </xf>
    <xf numFmtId="0" fontId="0" fillId="0" borderId="0" xfId="0" applyFont="1" applyFill="1" applyAlignment="1">
      <alignment wrapText="1" shrinkToFit="1"/>
    </xf>
    <xf numFmtId="0" fontId="0" fillId="0" borderId="0" xfId="0" applyFont="1" applyFill="1" applyAlignment="1">
      <alignment wrapText="1" shrinkToFit="1"/>
    </xf>
    <xf numFmtId="0" fontId="0" fillId="0" borderId="0" xfId="0" applyFont="1" applyFill="1" applyAlignment="1">
      <alignment horizontal="center"/>
    </xf>
    <xf numFmtId="171" fontId="0" fillId="0" borderId="0" xfId="42" applyFont="1" applyFill="1" applyAlignment="1">
      <alignment horizontal="center"/>
    </xf>
    <xf numFmtId="169" fontId="0" fillId="0" borderId="0" xfId="0" applyNumberFormat="1" applyFont="1" applyFill="1" applyAlignment="1">
      <alignment horizontal="center"/>
    </xf>
    <xf numFmtId="174" fontId="0" fillId="0" borderId="0" xfId="0" applyNumberFormat="1" applyFont="1" applyFill="1" applyAlignment="1">
      <alignment horizontal="center"/>
    </xf>
    <xf numFmtId="0" fontId="0" fillId="0" borderId="0" xfId="0" applyFont="1" applyFill="1" applyBorder="1" applyAlignment="1">
      <alignment horizontal="center"/>
    </xf>
    <xf numFmtId="0" fontId="20" fillId="0" borderId="0" xfId="0" applyFont="1" applyFill="1" applyAlignment="1">
      <alignment horizontal="center"/>
    </xf>
    <xf numFmtId="171" fontId="20" fillId="0" borderId="0" xfId="42" applyFont="1" applyFill="1" applyAlignment="1">
      <alignment horizontal="center"/>
    </xf>
    <xf numFmtId="174" fontId="23" fillId="0" borderId="73" xfId="0" applyNumberFormat="1" applyFont="1" applyFill="1" applyBorder="1" applyAlignment="1">
      <alignment vertical="center" wrapText="1"/>
    </xf>
    <xf numFmtId="169" fontId="20" fillId="0" borderId="43" xfId="0" applyNumberFormat="1" applyFont="1" applyFill="1" applyBorder="1" applyAlignment="1">
      <alignment/>
    </xf>
    <xf numFmtId="41" fontId="23" fillId="0" borderId="30" xfId="0" applyNumberFormat="1" applyFont="1" applyFill="1" applyBorder="1" applyAlignment="1">
      <alignment/>
    </xf>
    <xf numFmtId="174" fontId="20" fillId="0" borderId="43" xfId="42" applyNumberFormat="1" applyFont="1" applyFill="1" applyBorder="1" applyAlignment="1">
      <alignment/>
    </xf>
    <xf numFmtId="169" fontId="20" fillId="0" borderId="30" xfId="0" applyNumberFormat="1" applyFont="1" applyFill="1" applyBorder="1" applyAlignment="1">
      <alignment/>
    </xf>
    <xf numFmtId="41" fontId="20" fillId="0" borderId="43" xfId="0" applyNumberFormat="1" applyFont="1" applyFill="1" applyBorder="1" applyAlignment="1">
      <alignment/>
    </xf>
    <xf numFmtId="174" fontId="23" fillId="0" borderId="38" xfId="0" applyNumberFormat="1" applyFont="1" applyFill="1" applyBorder="1" applyAlignment="1">
      <alignment vertical="center" wrapText="1"/>
    </xf>
    <xf numFmtId="41" fontId="20" fillId="0" borderId="24" xfId="0" applyNumberFormat="1" applyFont="1" applyFill="1" applyBorder="1" applyAlignment="1">
      <alignment horizontal="right"/>
    </xf>
    <xf numFmtId="174" fontId="20" fillId="0" borderId="24" xfId="0" applyNumberFormat="1" applyFont="1" applyFill="1" applyBorder="1" applyAlignment="1">
      <alignment horizontal="right"/>
    </xf>
    <xf numFmtId="174" fontId="0" fillId="0" borderId="0" xfId="42" applyNumberFormat="1" applyFont="1" applyFill="1" applyAlignment="1">
      <alignment/>
    </xf>
    <xf numFmtId="169" fontId="39" fillId="0" borderId="0" xfId="57" applyNumberFormat="1" applyFont="1" applyFill="1" applyAlignment="1">
      <alignment horizontal="left" vertical="top"/>
      <protection/>
    </xf>
    <xf numFmtId="169" fontId="25" fillId="0" borderId="0" xfId="0" applyNumberFormat="1" applyFont="1" applyFill="1" applyBorder="1" applyAlignment="1">
      <alignment horizontal="left" vertical="top" wrapText="1"/>
    </xf>
    <xf numFmtId="49" fontId="39" fillId="0" borderId="0" xfId="0" applyNumberFormat="1" applyFont="1" applyFill="1" applyAlignment="1" quotePrefix="1">
      <alignment horizontal="center"/>
    </xf>
    <xf numFmtId="41" fontId="39" fillId="0" borderId="0" xfId="0" applyNumberFormat="1" applyFont="1" applyFill="1" applyAlignment="1">
      <alignment horizontal="left" vertical="top" wrapText="1"/>
    </xf>
    <xf numFmtId="169" fontId="25" fillId="0" borderId="0" xfId="0" applyNumberFormat="1" applyFont="1" applyFill="1" applyAlignment="1">
      <alignment horizontal="left" vertical="center" wrapText="1"/>
    </xf>
    <xf numFmtId="41" fontId="39" fillId="0" borderId="0" xfId="0" applyNumberFormat="1" applyFont="1" applyFill="1" applyAlignment="1">
      <alignment horizontal="left" vertical="top"/>
    </xf>
    <xf numFmtId="0" fontId="39" fillId="0" borderId="0" xfId="0" applyFont="1" applyFill="1" applyAlignment="1">
      <alignment horizontal="center"/>
    </xf>
    <xf numFmtId="169" fontId="25" fillId="0" borderId="0" xfId="0" applyNumberFormat="1" applyFont="1" applyFill="1" applyAlignment="1">
      <alignment horizontal="left" vertical="top"/>
    </xf>
    <xf numFmtId="41" fontId="39" fillId="0" borderId="0" xfId="0" applyNumberFormat="1" applyFont="1" applyFill="1" applyAlignment="1" quotePrefix="1">
      <alignment horizontal="center" vertical="top"/>
    </xf>
    <xf numFmtId="177" fontId="39" fillId="0" borderId="0" xfId="0" applyNumberFormat="1" applyFont="1" applyFill="1" applyBorder="1" applyAlignment="1">
      <alignment horizontal="left" vertical="top" wrapText="1"/>
    </xf>
    <xf numFmtId="0" fontId="21" fillId="0" borderId="20" xfId="0" applyFont="1" applyFill="1" applyBorder="1" applyAlignment="1">
      <alignment horizontal="center"/>
    </xf>
    <xf numFmtId="0" fontId="21" fillId="0" borderId="19" xfId="0" applyFont="1" applyFill="1" applyBorder="1" applyAlignment="1">
      <alignment horizontal="center"/>
    </xf>
    <xf numFmtId="0" fontId="21" fillId="0" borderId="21" xfId="0" applyFont="1" applyFill="1" applyBorder="1" applyAlignment="1">
      <alignment horizontal="center"/>
    </xf>
    <xf numFmtId="0" fontId="2" fillId="0" borderId="0" xfId="0" applyFont="1" applyFill="1" applyAlignment="1">
      <alignment horizontal="center"/>
    </xf>
    <xf numFmtId="0" fontId="21" fillId="0" borderId="0" xfId="0" applyFont="1" applyFill="1" applyBorder="1" applyAlignment="1">
      <alignment horizontal="center"/>
    </xf>
    <xf numFmtId="49" fontId="2" fillId="0" borderId="0" xfId="0" applyNumberFormat="1" applyFont="1" applyFill="1" applyAlignment="1">
      <alignment horizontal="center"/>
    </xf>
    <xf numFmtId="0" fontId="0" fillId="0" borderId="0" xfId="0" applyFont="1" applyFill="1" applyAlignment="1">
      <alignment horizontal="left" vertical="top" wrapText="1"/>
    </xf>
    <xf numFmtId="0" fontId="21" fillId="0" borderId="0" xfId="0" applyFont="1" applyAlignment="1">
      <alignment horizontal="center"/>
    </xf>
    <xf numFmtId="0" fontId="0" fillId="0" borderId="0" xfId="0" applyFont="1" applyAlignment="1">
      <alignment wrapText="1"/>
    </xf>
    <xf numFmtId="0" fontId="20" fillId="0" borderId="0" xfId="0" applyFont="1" applyAlignment="1">
      <alignment horizontal="left" wrapText="1"/>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horizontal="left" wrapText="1"/>
    </xf>
    <xf numFmtId="0" fontId="23" fillId="0" borderId="0" xfId="0" applyFont="1" applyFill="1" applyAlignment="1">
      <alignment horizontal="left" wrapText="1"/>
    </xf>
    <xf numFmtId="0" fontId="20" fillId="0" borderId="0" xfId="0" applyFont="1" applyAlignment="1">
      <alignment wrapText="1"/>
    </xf>
    <xf numFmtId="49" fontId="39" fillId="0" borderId="0" xfId="0" applyNumberFormat="1" applyFont="1" applyFill="1" applyAlignment="1" quotePrefix="1">
      <alignment horizontal="center" vertical="top"/>
    </xf>
    <xf numFmtId="49" fontId="39" fillId="0" borderId="0" xfId="0" applyNumberFormat="1" applyFont="1" applyFill="1" applyAlignment="1">
      <alignment horizontal="center" vertical="top"/>
    </xf>
    <xf numFmtId="0" fontId="39" fillId="0" borderId="0" xfId="0" applyFont="1" applyFill="1" applyAlignment="1">
      <alignment horizontal="center" wrapText="1"/>
    </xf>
    <xf numFmtId="169" fontId="25" fillId="0" borderId="0" xfId="0" applyNumberFormat="1" applyFont="1" applyFill="1" applyAlignment="1">
      <alignment horizontal="left" vertical="top" wrapText="1"/>
    </xf>
    <xf numFmtId="2" fontId="25" fillId="0" borderId="0" xfId="0" applyNumberFormat="1" applyFont="1" applyFill="1" applyAlignment="1">
      <alignment horizontal="left" vertical="top" wrapText="1"/>
    </xf>
    <xf numFmtId="2" fontId="25" fillId="0" borderId="0" xfId="0" applyNumberFormat="1" applyFont="1" applyFill="1" applyAlignment="1">
      <alignment horizontal="left" vertical="top"/>
    </xf>
    <xf numFmtId="0" fontId="25" fillId="0" borderId="0" xfId="0" applyFont="1" applyFill="1" applyAlignment="1">
      <alignment horizontal="left" vertical="top"/>
    </xf>
    <xf numFmtId="177" fontId="25" fillId="0" borderId="0" xfId="0" applyNumberFormat="1" applyFont="1" applyFill="1" applyBorder="1" applyAlignment="1">
      <alignment horizontal="left" vertical="top" wrapText="1"/>
    </xf>
    <xf numFmtId="169" fontId="39" fillId="0" borderId="0" xfId="0" applyNumberFormat="1" applyFont="1" applyFill="1" applyAlignment="1">
      <alignment horizontal="left" vertical="top" wrapText="1"/>
    </xf>
    <xf numFmtId="41" fontId="25" fillId="0" borderId="0" xfId="0" applyNumberFormat="1" applyFont="1" applyFill="1" applyAlignment="1">
      <alignment horizontal="left" vertical="top" wrapText="1"/>
    </xf>
    <xf numFmtId="177" fontId="25" fillId="0" borderId="0" xfId="0" applyNumberFormat="1" applyFont="1" applyFill="1" applyAlignment="1">
      <alignment horizontal="left" vertical="top" wrapText="1"/>
    </xf>
    <xf numFmtId="41" fontId="25" fillId="0" borderId="0" xfId="0" applyNumberFormat="1" applyFont="1" applyFill="1" applyAlignment="1">
      <alignment horizontal="left" vertical="top"/>
    </xf>
    <xf numFmtId="0" fontId="25" fillId="0" borderId="0" xfId="0" applyNumberFormat="1" applyFont="1" applyFill="1" applyAlignment="1">
      <alignment horizontal="left" vertical="top" wrapText="1"/>
    </xf>
    <xf numFmtId="0" fontId="25" fillId="0" borderId="0" xfId="0" applyFont="1" applyFill="1" applyAlignment="1">
      <alignment horizontal="left" vertical="top" wrapText="1"/>
    </xf>
    <xf numFmtId="0" fontId="40" fillId="0" borderId="0" xfId="0" applyNumberFormat="1" applyFont="1" applyFill="1" applyAlignment="1">
      <alignment horizontal="left" vertical="top" wrapText="1"/>
    </xf>
    <xf numFmtId="0" fontId="21" fillId="0" borderId="0" xfId="0" applyFont="1" applyAlignment="1">
      <alignment horizontal="center"/>
    </xf>
    <xf numFmtId="0" fontId="21" fillId="0" borderId="0" xfId="0" applyFont="1" applyBorder="1" applyAlignment="1">
      <alignment horizontal="center"/>
    </xf>
    <xf numFmtId="0" fontId="21" fillId="0" borderId="0" xfId="0" applyFont="1" applyFill="1" applyAlignment="1">
      <alignment horizontal="center"/>
    </xf>
    <xf numFmtId="0" fontId="21" fillId="0" borderId="0" xfId="0" applyFont="1" applyFill="1" applyBorder="1" applyAlignment="1">
      <alignment horizontal="center"/>
    </xf>
    <xf numFmtId="49" fontId="2" fillId="0" borderId="0" xfId="0" applyNumberFormat="1" applyFont="1" applyFill="1" applyAlignment="1">
      <alignment horizontal="center"/>
    </xf>
    <xf numFmtId="49" fontId="2" fillId="0" borderId="0" xfId="0" applyNumberFormat="1" applyFont="1" applyFill="1" applyAlignment="1">
      <alignment horizontal="center"/>
    </xf>
    <xf numFmtId="0" fontId="2" fillId="0" borderId="0" xfId="0" applyFont="1" applyFill="1" applyBorder="1" applyAlignment="1">
      <alignment horizontal="center"/>
    </xf>
    <xf numFmtId="0" fontId="0" fillId="0" borderId="0" xfId="0" applyAlignment="1">
      <alignment/>
    </xf>
    <xf numFmtId="49" fontId="23" fillId="0" borderId="0" xfId="0" applyNumberFormat="1" applyFont="1" applyAlignment="1">
      <alignment horizontal="center"/>
    </xf>
    <xf numFmtId="0" fontId="20" fillId="0" borderId="0" xfId="0" applyFont="1" applyAlignment="1">
      <alignment horizontal="justify" wrapText="1"/>
    </xf>
    <xf numFmtId="0" fontId="20" fillId="0" borderId="0" xfId="0" applyFont="1" applyFill="1" applyAlignment="1">
      <alignment horizontal="left" wrapText="1"/>
    </xf>
    <xf numFmtId="0" fontId="26" fillId="0" borderId="0" xfId="0" applyFont="1" applyAlignment="1">
      <alignment wrapText="1"/>
    </xf>
    <xf numFmtId="0" fontId="20" fillId="0" borderId="0" xfId="0" applyFont="1" applyAlignment="1">
      <alignment/>
    </xf>
    <xf numFmtId="0" fontId="23" fillId="0" borderId="0" xfId="0" applyFont="1" applyAlignment="1">
      <alignment wrapText="1"/>
    </xf>
    <xf numFmtId="0" fontId="20" fillId="0" borderId="0" xfId="0" applyFont="1" applyAlignment="1">
      <alignment horizontal="left" wrapText="1" indent="1"/>
    </xf>
    <xf numFmtId="0" fontId="27" fillId="0" borderId="0" xfId="0" applyFont="1" applyAlignment="1">
      <alignment wrapText="1"/>
    </xf>
    <xf numFmtId="0" fontId="23" fillId="0" borderId="0" xfId="0" applyFont="1" applyAlignment="1">
      <alignment horizontal="left" wrapText="1" indent="1"/>
    </xf>
    <xf numFmtId="0" fontId="20" fillId="0" borderId="17" xfId="0" applyFont="1" applyBorder="1" applyAlignment="1">
      <alignment/>
    </xf>
    <xf numFmtId="0" fontId="30" fillId="0" borderId="0" xfId="0" applyFont="1" applyAlignment="1">
      <alignment horizontal="left" wrapText="1" indent="3"/>
    </xf>
    <xf numFmtId="0" fontId="23" fillId="0" borderId="0" xfId="0" applyFont="1" applyAlignment="1">
      <alignment/>
    </xf>
    <xf numFmtId="0" fontId="20" fillId="0" borderId="0" xfId="0" applyFont="1" applyAlignment="1">
      <alignment horizontal="left" indent="3"/>
    </xf>
    <xf numFmtId="0" fontId="21" fillId="0" borderId="0" xfId="0" applyFont="1" applyFill="1" applyAlignment="1">
      <alignment horizontal="center"/>
    </xf>
    <xf numFmtId="0" fontId="21" fillId="0" borderId="10" xfId="0" applyFont="1" applyFill="1" applyBorder="1" applyAlignment="1">
      <alignment horizontal="center"/>
    </xf>
    <xf numFmtId="174" fontId="23" fillId="0" borderId="41" xfId="0" applyNumberFormat="1" applyFont="1" applyFill="1" applyBorder="1" applyAlignment="1">
      <alignment horizontal="right" vertical="center" wrapText="1"/>
    </xf>
    <xf numFmtId="174" fontId="20" fillId="0" borderId="47" xfId="0" applyNumberFormat="1" applyFont="1" applyFill="1" applyBorder="1" applyAlignment="1">
      <alignment horizontal="right" vertical="center" wrapText="1"/>
    </xf>
    <xf numFmtId="174" fontId="23" fillId="0" borderId="38" xfId="0" applyNumberFormat="1" applyFont="1" applyFill="1" applyBorder="1" applyAlignment="1">
      <alignment horizontal="right" vertical="center" wrapText="1"/>
    </xf>
    <xf numFmtId="174" fontId="20" fillId="0" borderId="26" xfId="0" applyNumberFormat="1" applyFont="1" applyFill="1" applyBorder="1" applyAlignment="1">
      <alignment horizontal="right" vertical="center" wrapText="1"/>
    </xf>
    <xf numFmtId="174" fontId="23" fillId="0" borderId="81" xfId="0" applyNumberFormat="1" applyFont="1" applyFill="1" applyBorder="1" applyAlignment="1">
      <alignment horizontal="center" vertical="center" wrapText="1"/>
    </xf>
    <xf numFmtId="174" fontId="23" fillId="0" borderId="82" xfId="0" applyNumberFormat="1" applyFont="1" applyFill="1" applyBorder="1" applyAlignment="1">
      <alignment horizontal="center" vertical="center" wrapText="1"/>
    </xf>
    <xf numFmtId="174" fontId="23" fillId="0" borderId="83" xfId="0" applyNumberFormat="1" applyFont="1" applyFill="1" applyBorder="1" applyAlignment="1">
      <alignment horizontal="center" vertical="center" wrapText="1"/>
    </xf>
    <xf numFmtId="0" fontId="21" fillId="0" borderId="22" xfId="0" applyFont="1" applyFill="1" applyBorder="1" applyAlignment="1">
      <alignment horizontal="center"/>
    </xf>
    <xf numFmtId="0" fontId="21" fillId="0" borderId="11" xfId="0" applyFont="1" applyFill="1" applyBorder="1" applyAlignment="1">
      <alignment horizontal="center"/>
    </xf>
    <xf numFmtId="171" fontId="2" fillId="0" borderId="84" xfId="0" applyNumberFormat="1" applyFont="1" applyFill="1" applyBorder="1" applyAlignment="1">
      <alignment horizontal="center" vertical="center" wrapText="1"/>
    </xf>
    <xf numFmtId="171" fontId="2" fillId="0" borderId="82" xfId="0" applyNumberFormat="1" applyFont="1" applyFill="1" applyBorder="1" applyAlignment="1">
      <alignment horizontal="center" vertical="center" wrapText="1"/>
    </xf>
    <xf numFmtId="171" fontId="2" fillId="0" borderId="85" xfId="0" applyNumberFormat="1" applyFont="1" applyFill="1" applyBorder="1" applyAlignment="1">
      <alignment horizontal="center" vertical="center" wrapText="1"/>
    </xf>
    <xf numFmtId="171" fontId="2" fillId="0" borderId="21" xfId="0" applyNumberFormat="1" applyFont="1" applyFill="1" applyBorder="1" applyAlignment="1">
      <alignment horizontal="right" vertical="center" wrapText="1"/>
    </xf>
    <xf numFmtId="171" fontId="0" fillId="0" borderId="16" xfId="0" applyNumberFormat="1" applyFont="1" applyFill="1" applyBorder="1" applyAlignment="1">
      <alignment horizontal="right" vertical="center" wrapText="1"/>
    </xf>
    <xf numFmtId="172" fontId="21" fillId="0" borderId="0" xfId="0" applyNumberFormat="1" applyFont="1" applyFill="1" applyAlignment="1" quotePrefix="1">
      <alignment horizontal="center"/>
    </xf>
    <xf numFmtId="172" fontId="21" fillId="0" borderId="0" xfId="0" applyNumberFormat="1" applyFont="1" applyFill="1" applyAlignment="1">
      <alignment horizontal="center"/>
    </xf>
    <xf numFmtId="0" fontId="2" fillId="0" borderId="2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2" fillId="0" borderId="41" xfId="0" applyFont="1" applyBorder="1" applyAlignment="1">
      <alignment horizontal="left" vertical="center" wrapText="1"/>
    </xf>
    <xf numFmtId="0" fontId="0" fillId="0" borderId="35" xfId="0" applyFont="1" applyBorder="1" applyAlignment="1">
      <alignment horizontal="left" vertical="center" wrapText="1"/>
    </xf>
    <xf numFmtId="0" fontId="0" fillId="0" borderId="47" xfId="0" applyFont="1" applyBorder="1" applyAlignment="1">
      <alignment horizontal="left" vertical="center" wrapText="1"/>
    </xf>
    <xf numFmtId="174" fontId="2" fillId="0" borderId="61" xfId="42" applyNumberFormat="1" applyFont="1" applyFill="1" applyBorder="1" applyAlignment="1">
      <alignment horizontal="center" vertical="center" wrapText="1"/>
    </xf>
    <xf numFmtId="174" fontId="2" fillId="0" borderId="86" xfId="42" applyNumberFormat="1"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I &amp; E 95 (2)" xfId="58"/>
    <cellStyle name="Normal_TB 20060719"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152400</xdr:rowOff>
    </xdr:from>
    <xdr:to>
      <xdr:col>0</xdr:col>
      <xdr:colOff>5553075</xdr:colOff>
      <xdr:row>12</xdr:row>
      <xdr:rowOff>104775</xdr:rowOff>
    </xdr:to>
    <xdr:pic>
      <xdr:nvPicPr>
        <xdr:cNvPr id="1" name="Picture 1" descr="Mogale Logo (1)"/>
        <xdr:cNvPicPr preferRelativeResize="1">
          <a:picLocks noChangeAspect="1"/>
        </xdr:cNvPicPr>
      </xdr:nvPicPr>
      <xdr:blipFill>
        <a:blip r:embed="rId1"/>
        <a:stretch>
          <a:fillRect/>
        </a:stretch>
      </xdr:blipFill>
      <xdr:spPr>
        <a:xfrm>
          <a:off x="0" y="476250"/>
          <a:ext cx="5553075" cy="2238375"/>
        </a:xfrm>
        <a:prstGeom prst="rect">
          <a:avLst/>
        </a:prstGeom>
        <a:noFill/>
        <a:ln w="9525" cmpd="sng">
          <a:noFill/>
        </a:ln>
      </xdr:spPr>
    </xdr:pic>
    <xdr:clientData/>
  </xdr:twoCellAnchor>
  <xdr:twoCellAnchor editAs="oneCell">
    <xdr:from>
      <xdr:col>0</xdr:col>
      <xdr:colOff>0</xdr:colOff>
      <xdr:row>2</xdr:row>
      <xdr:rowOff>152400</xdr:rowOff>
    </xdr:from>
    <xdr:to>
      <xdr:col>0</xdr:col>
      <xdr:colOff>5553075</xdr:colOff>
      <xdr:row>12</xdr:row>
      <xdr:rowOff>104775</xdr:rowOff>
    </xdr:to>
    <xdr:pic>
      <xdr:nvPicPr>
        <xdr:cNvPr id="2" name="Picture 2" descr="Mogale Logo (1)"/>
        <xdr:cNvPicPr preferRelativeResize="1">
          <a:picLocks noChangeAspect="1"/>
        </xdr:cNvPicPr>
      </xdr:nvPicPr>
      <xdr:blipFill>
        <a:blip r:embed="rId1"/>
        <a:stretch>
          <a:fillRect/>
        </a:stretch>
      </xdr:blipFill>
      <xdr:spPr>
        <a:xfrm>
          <a:off x="0" y="476250"/>
          <a:ext cx="5553075" cy="2238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Outlook\EBHZK1HT\AFS%20JUNE%202009%2026%20august%202009%20version%20for%20AC.xls%20t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 page"/>
      <sheetName val="INDEX (2)"/>
      <sheetName val="Gen.Info (2)"/>
      <sheetName val="Grap Balance Sheet"/>
      <sheetName val="Grap i&amp;E"/>
      <sheetName val="Grap Appr"/>
      <sheetName val="Cashflow"/>
      <sheetName val="Notes (2)"/>
      <sheetName val="Asset note"/>
      <sheetName val="Notes"/>
      <sheetName val="LOANS-APP A"/>
      <sheetName val="GRAP APP B"/>
      <sheetName val="GRAP APP C"/>
      <sheetName val="GRAP APP D"/>
      <sheetName val="GRAP APP E1"/>
      <sheetName val="GRAP APP E2"/>
      <sheetName val="Note F"/>
    </sheetNames>
  </externalBook>
</externalLink>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Documents%20and%20Settings\User\Local%20Settings\Temporary%20Internet%20Files\Content.Outlook\EBHZK1HT\riyadha\riyadha\My%20Documents\Mogale\INVESTMENT%20AND%20LOANS\Loans%20Register%20200809.xls"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Documents%20and%20Settings\User\Local%20Settings\Temporary%20Internet%20Files\Content.Outlook\EBHZK1HT\riyadha\riyadha\My%20Documents\Mogale\INVESTMENT%20AND%20LOANS\Loans%20Register%20200809.xls" TargetMode="External" /><Relationship Id="rId2" Type="http://schemas.openxmlformats.org/officeDocument/2006/relationships/hyperlink" Target="..\..\..\..\..\..\..\..\Documents%20and%20Settings\User\Local%20Settings\Temporary%20Internet%20Files\Content.Outlook\EBHZK1HT\riyadha\riyadha\My%20Documents\Mogale\INVESTMENT%20AND%20LOANS\Short%20Term%20Portion%20of%20Long%20Term%20Loans%20200910.xls" TargetMode="External" /><Relationship Id="rId3" Type="http://schemas.openxmlformats.org/officeDocument/2006/relationships/hyperlink" Target="..\..\..\..\..\..\..\..\Documents%20and%20Settings\User\Local%20Settings\Temporary%20Internet%20Files\Content.Outlook\EBHZK1HT\riyadha\riyadha\My%20Documents\Mogale\NOTE%202%20PROVISIONS\MADIKANE%20GL8031.xls" TargetMode="External" /><Relationship Id="rId4" Type="http://schemas.openxmlformats.org/officeDocument/2006/relationships/hyperlink" Target="..\..\..\..\..\..\..\..\Documents%20and%20Settings\User\Local%20Settings\Temporary%20Internet%20Files\Content.Outlook\EBHZK1HT\riyadha\riyadha\My%20Documents\Mogale\NOTE%202%20PROVISIONS\COLLATER.xls" TargetMode="Externa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7"/>
  <sheetViews>
    <sheetView view="pageBreakPreview" zoomScale="60" zoomScaleNormal="85" zoomScalePageLayoutView="0" workbookViewId="0" topLeftCell="A24">
      <selection activeCell="E40" sqref="E40"/>
    </sheetView>
  </sheetViews>
  <sheetFormatPr defaultColWidth="9.140625" defaultRowHeight="12.75"/>
  <cols>
    <col min="1" max="1" width="93.140625" style="0" customWidth="1"/>
  </cols>
  <sheetData>
    <row r="1" ht="12.75">
      <c r="A1" s="7"/>
    </row>
    <row r="2" ht="12.75">
      <c r="A2" s="7"/>
    </row>
    <row r="3" ht="18">
      <c r="A3" s="134"/>
    </row>
    <row r="4" ht="18">
      <c r="A4" s="134"/>
    </row>
    <row r="5" ht="18">
      <c r="A5" s="134"/>
    </row>
    <row r="6" ht="18">
      <c r="A6" s="134"/>
    </row>
    <row r="7" ht="18">
      <c r="A7" s="134"/>
    </row>
    <row r="8" ht="18">
      <c r="A8" s="134"/>
    </row>
    <row r="9" ht="18">
      <c r="A9" s="134"/>
    </row>
    <row r="10" ht="18">
      <c r="A10" s="134"/>
    </row>
    <row r="11" ht="18">
      <c r="A11" s="134"/>
    </row>
    <row r="12" ht="18">
      <c r="A12" s="134"/>
    </row>
    <row r="13" ht="18">
      <c r="A13" s="134"/>
    </row>
    <row r="14" ht="18">
      <c r="A14" s="134" t="s">
        <v>201</v>
      </c>
    </row>
    <row r="15" ht="18">
      <c r="A15" s="134"/>
    </row>
    <row r="16" ht="18">
      <c r="A16" s="134" t="s">
        <v>191</v>
      </c>
    </row>
    <row r="17" ht="18">
      <c r="A17" s="134"/>
    </row>
    <row r="18" ht="18">
      <c r="A18" s="142" t="s">
        <v>597</v>
      </c>
    </row>
    <row r="19" ht="18">
      <c r="A19" s="134"/>
    </row>
    <row r="20" ht="12.75">
      <c r="A20" s="7"/>
    </row>
    <row r="21" ht="12.75">
      <c r="A21" s="7"/>
    </row>
    <row r="22" ht="71.25" customHeight="1">
      <c r="A22" s="135" t="s">
        <v>91</v>
      </c>
    </row>
    <row r="23" ht="12.75">
      <c r="A23" s="8"/>
    </row>
    <row r="24" ht="81.75" customHeight="1">
      <c r="A24" s="135" t="s">
        <v>404</v>
      </c>
    </row>
    <row r="25" ht="15">
      <c r="A25" s="136"/>
    </row>
    <row r="26" ht="12.75">
      <c r="A26" s="8"/>
    </row>
    <row r="27" ht="12.75">
      <c r="A27" s="8"/>
    </row>
    <row r="28" ht="12.75">
      <c r="A28" s="8"/>
    </row>
    <row r="29" ht="15.75">
      <c r="A29" s="137" t="s">
        <v>202</v>
      </c>
    </row>
    <row r="30" ht="15.75">
      <c r="A30" s="139" t="s">
        <v>1081</v>
      </c>
    </row>
    <row r="31" ht="15.75">
      <c r="A31" s="137" t="s">
        <v>203</v>
      </c>
    </row>
    <row r="32" ht="18">
      <c r="A32" s="138"/>
    </row>
    <row r="34" ht="12.75">
      <c r="A34" s="152" t="s">
        <v>1587</v>
      </c>
    </row>
    <row r="36" ht="15.75">
      <c r="A36" s="154" t="s">
        <v>7</v>
      </c>
    </row>
    <row r="37" s="980" customFormat="1" ht="33" customHeight="1">
      <c r="A37" s="979" t="s">
        <v>845</v>
      </c>
    </row>
  </sheetData>
  <sheetProtection/>
  <printOptions horizontalCentered="1"/>
  <pageMargins left="0.7480314960629921" right="0.7480314960629921" top="0.984251968503937" bottom="0.984251968503937" header="0.5118110236220472" footer="0.5118110236220472"/>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A1:H613"/>
  <sheetViews>
    <sheetView zoomScalePageLayoutView="0" workbookViewId="0" topLeftCell="A394">
      <selection activeCell="B423" sqref="B423"/>
    </sheetView>
  </sheetViews>
  <sheetFormatPr defaultColWidth="9.140625" defaultRowHeight="12.75"/>
  <cols>
    <col min="1" max="1" width="3.8515625" style="0" customWidth="1"/>
    <col min="2" max="2" width="38.28125" style="45" customWidth="1"/>
    <col min="3" max="3" width="1.7109375" style="0" customWidth="1"/>
    <col min="4" max="4" width="16.28125" style="0" customWidth="1"/>
    <col min="5" max="5" width="0.85546875" style="0" customWidth="1"/>
    <col min="6" max="6" width="13.28125" style="0" customWidth="1"/>
    <col min="7" max="7" width="0.9921875" style="0" customWidth="1"/>
    <col min="8" max="8" width="14.00390625" style="0" bestFit="1" customWidth="1"/>
  </cols>
  <sheetData>
    <row r="1" spans="1:8" ht="18">
      <c r="A1" s="1265" t="s">
        <v>1185</v>
      </c>
      <c r="B1" s="1265"/>
      <c r="C1" s="1265"/>
      <c r="D1" s="1265"/>
      <c r="E1" s="1265"/>
      <c r="F1" s="1265"/>
      <c r="G1" s="1265"/>
      <c r="H1" s="1265"/>
    </row>
    <row r="2" spans="1:8" ht="12.75">
      <c r="A2" s="1266" t="s">
        <v>175</v>
      </c>
      <c r="B2" s="1266"/>
      <c r="C2" s="1266"/>
      <c r="D2" s="1266"/>
      <c r="E2" s="1266"/>
      <c r="F2" s="1266"/>
      <c r="G2" s="1266"/>
      <c r="H2" s="1266"/>
    </row>
    <row r="3" spans="1:8" ht="12.75">
      <c r="A3" s="8"/>
      <c r="B3" s="18"/>
      <c r="C3" s="8"/>
      <c r="D3" s="8"/>
      <c r="E3" s="8"/>
      <c r="F3" s="7">
        <v>2006</v>
      </c>
      <c r="G3" s="7"/>
      <c r="H3" s="7">
        <v>2005</v>
      </c>
    </row>
    <row r="4" spans="1:8" ht="13.5" thickBot="1">
      <c r="A4" s="9"/>
      <c r="B4" s="19"/>
      <c r="C4" s="9"/>
      <c r="D4" s="9"/>
      <c r="E4" s="9"/>
      <c r="F4" s="20" t="s">
        <v>1186</v>
      </c>
      <c r="G4" s="20"/>
      <c r="H4" s="20" t="s">
        <v>1186</v>
      </c>
    </row>
    <row r="5" spans="1:5" ht="12.75">
      <c r="A5" s="8"/>
      <c r="B5" s="18"/>
      <c r="C5" s="8"/>
      <c r="D5" s="8"/>
      <c r="E5" s="8"/>
    </row>
    <row r="6" spans="1:8" ht="12.75">
      <c r="A6" s="10">
        <v>1</v>
      </c>
      <c r="B6" s="21" t="s">
        <v>1187</v>
      </c>
      <c r="C6" s="10"/>
      <c r="D6" s="10"/>
      <c r="E6" s="10"/>
      <c r="F6" s="10"/>
      <c r="G6" s="10"/>
      <c r="H6" s="10"/>
    </row>
    <row r="7" spans="1:8" ht="12.75">
      <c r="A7" s="8"/>
      <c r="B7" s="22"/>
      <c r="C7" s="8"/>
      <c r="D7" s="8"/>
      <c r="E7" s="8"/>
      <c r="F7" s="8"/>
      <c r="G7" s="8"/>
      <c r="H7" s="8"/>
    </row>
    <row r="8" spans="1:8" ht="12.75">
      <c r="A8" s="8"/>
      <c r="B8" s="22" t="s">
        <v>1188</v>
      </c>
      <c r="C8" s="8"/>
      <c r="D8" s="8"/>
      <c r="E8" s="8"/>
      <c r="F8" s="23">
        <v>0</v>
      </c>
      <c r="G8" s="8"/>
      <c r="H8" s="23">
        <v>0</v>
      </c>
    </row>
    <row r="9" spans="1:8" ht="12.75">
      <c r="A9" s="8"/>
      <c r="B9" s="22" t="s">
        <v>1189</v>
      </c>
      <c r="C9" s="8"/>
      <c r="D9" s="8"/>
      <c r="E9" s="8"/>
      <c r="F9" s="23">
        <v>329554965</v>
      </c>
      <c r="G9" s="8"/>
      <c r="H9" s="23">
        <v>329554965</v>
      </c>
    </row>
    <row r="10" spans="1:8" ht="13.5" thickBot="1">
      <c r="A10" s="8"/>
      <c r="B10" s="22"/>
      <c r="C10" s="8"/>
      <c r="D10" s="8"/>
      <c r="E10" s="8"/>
      <c r="F10" s="24"/>
      <c r="G10" s="8"/>
      <c r="H10" s="24"/>
    </row>
    <row r="11" spans="1:8" ht="12.75">
      <c r="A11" s="8"/>
      <c r="B11" s="22" t="s">
        <v>1190</v>
      </c>
      <c r="C11" s="8"/>
      <c r="D11" s="8"/>
      <c r="E11" s="8"/>
      <c r="F11" s="23">
        <v>329554965</v>
      </c>
      <c r="G11" s="8"/>
      <c r="H11" s="23">
        <v>329554965</v>
      </c>
    </row>
    <row r="12" spans="1:8" ht="12.75">
      <c r="A12" s="8"/>
      <c r="B12" s="22"/>
      <c r="C12" s="8"/>
      <c r="D12" s="8"/>
      <c r="E12" s="8"/>
      <c r="F12" s="25"/>
      <c r="G12" s="8"/>
      <c r="H12" s="25"/>
    </row>
    <row r="13" spans="1:8" ht="13.5" thickBot="1">
      <c r="A13" s="8"/>
      <c r="B13" s="22" t="s">
        <v>1191</v>
      </c>
      <c r="C13" s="8"/>
      <c r="D13" s="8"/>
      <c r="E13" s="8"/>
      <c r="F13" s="26">
        <v>120421544</v>
      </c>
      <c r="G13" s="27"/>
      <c r="H13" s="26">
        <v>120421544</v>
      </c>
    </row>
    <row r="14" spans="1:8" ht="12.75">
      <c r="A14" s="8"/>
      <c r="B14" s="22" t="s">
        <v>1188</v>
      </c>
      <c r="C14" s="8"/>
      <c r="D14" s="8"/>
      <c r="E14" s="28"/>
      <c r="F14" s="29"/>
      <c r="G14" s="30"/>
      <c r="H14" s="29"/>
    </row>
    <row r="15" spans="1:8" ht="13.5" thickBot="1">
      <c r="A15" s="8"/>
      <c r="B15" s="22" t="s">
        <v>1189</v>
      </c>
      <c r="C15" s="8"/>
      <c r="D15" s="8"/>
      <c r="E15" s="28"/>
      <c r="F15" s="31">
        <v>120421544</v>
      </c>
      <c r="G15" s="30"/>
      <c r="H15" s="31">
        <v>120421544</v>
      </c>
    </row>
    <row r="16" spans="1:8" ht="13.5" thickBot="1">
      <c r="A16" s="8"/>
      <c r="B16" s="22"/>
      <c r="C16" s="8"/>
      <c r="D16" s="8"/>
      <c r="E16" s="8"/>
      <c r="F16" s="24"/>
      <c r="G16" s="8"/>
      <c r="H16" s="24"/>
    </row>
    <row r="17" spans="1:8" ht="13.5" thickBot="1">
      <c r="A17" s="8"/>
      <c r="B17" s="21" t="s">
        <v>1192</v>
      </c>
      <c r="C17" s="8"/>
      <c r="D17" s="8"/>
      <c r="E17" s="8"/>
      <c r="F17" s="32">
        <v>209133421</v>
      </c>
      <c r="G17" s="10"/>
      <c r="H17" s="32">
        <v>209133421</v>
      </c>
    </row>
    <row r="18" spans="1:8" ht="13.5" thickTop="1">
      <c r="A18" s="8"/>
      <c r="B18" s="22"/>
      <c r="C18" s="8"/>
      <c r="D18" s="8"/>
      <c r="E18" s="8"/>
      <c r="F18" s="8"/>
      <c r="G18" s="8"/>
      <c r="H18" s="8"/>
    </row>
    <row r="19" spans="1:8" ht="12.75">
      <c r="A19" s="11"/>
      <c r="B19" s="18" t="s">
        <v>1193</v>
      </c>
      <c r="C19" s="11"/>
      <c r="D19" s="11"/>
      <c r="E19" s="11"/>
      <c r="F19" s="11"/>
      <c r="G19" s="11"/>
      <c r="H19" s="11"/>
    </row>
    <row r="20" spans="1:8" ht="12.75">
      <c r="A20" s="11"/>
      <c r="B20" s="18"/>
      <c r="C20" s="11"/>
      <c r="D20" s="11"/>
      <c r="E20" s="11"/>
      <c r="F20" s="11"/>
      <c r="G20" s="11"/>
      <c r="H20" s="11"/>
    </row>
    <row r="21" spans="1:8" ht="12.75">
      <c r="A21" s="10">
        <v>2</v>
      </c>
      <c r="B21" s="33" t="s">
        <v>1194</v>
      </c>
      <c r="C21" s="8"/>
      <c r="D21" s="8"/>
      <c r="E21" s="8"/>
      <c r="F21" s="8"/>
      <c r="G21" s="8"/>
      <c r="H21" s="8"/>
    </row>
    <row r="22" spans="1:8" ht="12.75">
      <c r="A22" s="10"/>
      <c r="B22" s="33"/>
      <c r="C22" s="8"/>
      <c r="D22" s="8"/>
      <c r="E22" s="8"/>
      <c r="F22" s="8"/>
      <c r="G22" s="8"/>
      <c r="H22" s="8"/>
    </row>
    <row r="23" spans="1:8" ht="12.75">
      <c r="A23" s="10"/>
      <c r="B23" s="18" t="s">
        <v>1195</v>
      </c>
      <c r="C23" s="8"/>
      <c r="D23" s="8"/>
      <c r="E23" s="8"/>
      <c r="F23" s="34">
        <v>280976</v>
      </c>
      <c r="G23" s="35"/>
      <c r="H23" s="34">
        <v>280976</v>
      </c>
    </row>
    <row r="24" spans="1:8" ht="12.75">
      <c r="A24" s="10"/>
      <c r="B24" s="18" t="s">
        <v>1196</v>
      </c>
      <c r="C24" s="8"/>
      <c r="D24" s="8"/>
      <c r="E24" s="8"/>
      <c r="F24" s="34">
        <v>155937</v>
      </c>
      <c r="G24" s="35"/>
      <c r="H24" s="34">
        <v>155937</v>
      </c>
    </row>
    <row r="25" spans="1:8" ht="12.75">
      <c r="A25" s="10"/>
      <c r="B25" s="18" t="s">
        <v>1197</v>
      </c>
      <c r="C25" s="8"/>
      <c r="D25" s="8"/>
      <c r="E25" s="8"/>
      <c r="F25" s="35">
        <v>113083</v>
      </c>
      <c r="G25" s="35"/>
      <c r="H25" s="35">
        <v>113083</v>
      </c>
    </row>
    <row r="26" spans="1:8" ht="13.5" thickBot="1">
      <c r="A26" s="10"/>
      <c r="B26" s="18"/>
      <c r="C26" s="8"/>
      <c r="D26" s="8"/>
      <c r="E26" s="8"/>
      <c r="F26" s="35"/>
      <c r="G26" s="35"/>
      <c r="H26" s="35"/>
    </row>
    <row r="27" spans="1:8" ht="13.5" thickBot="1">
      <c r="A27" s="10"/>
      <c r="B27" s="33" t="s">
        <v>1198</v>
      </c>
      <c r="C27" s="10"/>
      <c r="D27" s="10"/>
      <c r="E27" s="10"/>
      <c r="F27" s="36">
        <v>549996</v>
      </c>
      <c r="G27" s="37"/>
      <c r="H27" s="36">
        <v>549996</v>
      </c>
    </row>
    <row r="28" spans="1:8" ht="13.5" thickTop="1">
      <c r="A28" s="8"/>
      <c r="B28" s="38"/>
      <c r="C28" s="8"/>
      <c r="D28" s="8"/>
      <c r="E28" s="8"/>
      <c r="F28" s="8"/>
      <c r="G28" s="8"/>
      <c r="H28" s="8"/>
    </row>
    <row r="29" spans="1:8" ht="12.75">
      <c r="A29" s="8"/>
      <c r="B29" s="1264" t="s">
        <v>1199</v>
      </c>
      <c r="C29" s="1264"/>
      <c r="D29" s="1264"/>
      <c r="E29" s="8"/>
      <c r="F29" s="8"/>
      <c r="G29" s="8"/>
      <c r="H29" s="8"/>
    </row>
    <row r="30" spans="1:8" ht="12.75">
      <c r="A30" s="8"/>
      <c r="B30" s="39"/>
      <c r="C30" s="8"/>
      <c r="D30" s="8"/>
      <c r="E30" s="8"/>
      <c r="F30" s="25"/>
      <c r="G30" s="8"/>
      <c r="H30" s="25"/>
    </row>
    <row r="31" spans="1:8" ht="12.75">
      <c r="A31" s="8"/>
      <c r="B31" s="39" t="s">
        <v>1200</v>
      </c>
      <c r="C31" s="8"/>
      <c r="D31" s="8"/>
      <c r="E31" s="8"/>
      <c r="F31" s="23">
        <v>530724</v>
      </c>
      <c r="G31" s="27"/>
      <c r="H31" s="23">
        <v>530724</v>
      </c>
    </row>
    <row r="32" spans="1:8" ht="12.75">
      <c r="A32" s="8"/>
      <c r="B32" s="39" t="s">
        <v>1201</v>
      </c>
      <c r="C32" s="8"/>
      <c r="D32" s="8"/>
      <c r="E32" s="8"/>
      <c r="F32" s="23">
        <v>19272</v>
      </c>
      <c r="G32" s="27"/>
      <c r="H32" s="23">
        <v>19272</v>
      </c>
    </row>
    <row r="33" spans="1:8" ht="13.5" thickBot="1">
      <c r="A33" s="8"/>
      <c r="B33" s="40" t="s">
        <v>1202</v>
      </c>
      <c r="C33" s="10"/>
      <c r="D33" s="10"/>
      <c r="E33" s="10"/>
      <c r="F33" s="32">
        <v>549996</v>
      </c>
      <c r="G33" s="41"/>
      <c r="H33" s="32">
        <v>549996</v>
      </c>
    </row>
    <row r="34" spans="1:8" ht="13.5" thickTop="1">
      <c r="A34" s="8"/>
      <c r="B34" s="42"/>
      <c r="C34" s="10"/>
      <c r="D34" s="10"/>
      <c r="E34" s="10"/>
      <c r="F34" s="41"/>
      <c r="G34" s="41"/>
      <c r="H34" s="41"/>
    </row>
    <row r="35" spans="1:8" ht="12.75">
      <c r="A35" s="10">
        <v>3</v>
      </c>
      <c r="B35" s="42" t="s">
        <v>1203</v>
      </c>
      <c r="C35" s="10"/>
      <c r="D35" s="10"/>
      <c r="E35" s="10"/>
      <c r="F35" s="41"/>
      <c r="G35" s="41"/>
      <c r="H35" s="41"/>
    </row>
    <row r="36" spans="1:8" ht="12.75">
      <c r="A36" s="8"/>
      <c r="B36" s="38"/>
      <c r="C36" s="8"/>
      <c r="D36" s="8"/>
      <c r="E36" s="8"/>
      <c r="F36" s="27"/>
      <c r="G36" s="27"/>
      <c r="H36" s="27"/>
    </row>
    <row r="37" spans="1:8" ht="12.75">
      <c r="A37" s="8"/>
      <c r="B37" s="38" t="s">
        <v>1204</v>
      </c>
      <c r="C37" s="8"/>
      <c r="D37" s="8"/>
      <c r="E37" s="8"/>
      <c r="F37" s="23">
        <v>25719670</v>
      </c>
      <c r="G37" s="27"/>
      <c r="H37" s="23">
        <v>25719670</v>
      </c>
    </row>
    <row r="38" spans="1:8" ht="13.5" thickBot="1">
      <c r="A38" s="8"/>
      <c r="B38" s="38"/>
      <c r="C38" s="8"/>
      <c r="D38" s="8"/>
      <c r="E38" s="8"/>
      <c r="F38" s="43"/>
      <c r="G38" s="27"/>
      <c r="H38" s="43"/>
    </row>
    <row r="39" spans="1:8" ht="13.5" thickBot="1">
      <c r="A39" s="8"/>
      <c r="B39" s="42" t="s">
        <v>1205</v>
      </c>
      <c r="C39" s="10"/>
      <c r="D39" s="10"/>
      <c r="E39" s="10"/>
      <c r="F39" s="32">
        <v>25719670</v>
      </c>
      <c r="G39" s="41"/>
      <c r="H39" s="32">
        <v>25719670</v>
      </c>
    </row>
    <row r="40" spans="1:8" ht="13.5" thickTop="1">
      <c r="A40" s="8"/>
      <c r="B40" s="38"/>
      <c r="C40" s="8"/>
      <c r="D40" s="8"/>
      <c r="E40" s="8"/>
      <c r="F40" s="8"/>
      <c r="G40" s="8"/>
      <c r="H40" s="8"/>
    </row>
    <row r="41" spans="1:8" ht="13.5" thickBot="1">
      <c r="A41" s="10"/>
      <c r="B41" s="1267" t="s">
        <v>1206</v>
      </c>
      <c r="C41" s="1267"/>
      <c r="D41" s="1267"/>
      <c r="E41" s="10"/>
      <c r="F41" s="44">
        <v>5789641</v>
      </c>
      <c r="G41" s="37"/>
      <c r="H41" s="44">
        <v>5789641</v>
      </c>
    </row>
    <row r="42" spans="6:8" ht="13.5" thickTop="1">
      <c r="F42" s="5"/>
      <c r="G42" s="5"/>
      <c r="H42" s="5"/>
    </row>
    <row r="43" spans="1:8" ht="12.75">
      <c r="A43" s="10">
        <v>4</v>
      </c>
      <c r="B43" s="42" t="s">
        <v>1207</v>
      </c>
      <c r="C43" s="8"/>
      <c r="D43" s="8"/>
      <c r="E43" s="8"/>
      <c r="F43" s="41"/>
      <c r="G43" s="41"/>
      <c r="H43" s="41"/>
    </row>
    <row r="44" spans="1:8" ht="12.75">
      <c r="A44" s="10"/>
      <c r="B44" s="42"/>
      <c r="C44" s="8"/>
      <c r="D44" s="8"/>
      <c r="E44" s="8"/>
      <c r="F44" s="41"/>
      <c r="G44" s="41"/>
      <c r="H44" s="41"/>
    </row>
    <row r="45" spans="1:8" ht="12.75">
      <c r="A45" s="8"/>
      <c r="B45" s="38" t="s">
        <v>1208</v>
      </c>
      <c r="C45" s="8"/>
      <c r="D45" s="8"/>
      <c r="E45" s="8"/>
      <c r="F45" s="23">
        <v>32512954</v>
      </c>
      <c r="G45" s="27"/>
      <c r="H45" s="23">
        <v>32512954</v>
      </c>
    </row>
    <row r="46" spans="1:8" ht="12.75">
      <c r="A46" s="8"/>
      <c r="B46" s="38" t="s">
        <v>1209</v>
      </c>
      <c r="C46" s="8"/>
      <c r="D46" s="8"/>
      <c r="E46" s="8"/>
      <c r="F46" s="23">
        <v>14280103</v>
      </c>
      <c r="G46" s="27"/>
      <c r="H46" s="23">
        <v>14280103</v>
      </c>
    </row>
    <row r="47" spans="1:8" ht="13.5" thickBot="1">
      <c r="A47" s="8"/>
      <c r="B47" s="38" t="s">
        <v>1210</v>
      </c>
      <c r="C47" s="8"/>
      <c r="D47" s="8"/>
      <c r="E47" s="8"/>
      <c r="F47" s="26">
        <v>14104368</v>
      </c>
      <c r="G47" s="27"/>
      <c r="H47" s="26">
        <v>14104368</v>
      </c>
    </row>
    <row r="48" spans="1:8" ht="13.5" thickBot="1">
      <c r="A48" s="8"/>
      <c r="B48" s="38"/>
      <c r="C48" s="8"/>
      <c r="D48" s="8"/>
      <c r="E48" s="8"/>
      <c r="F48" s="32">
        <v>60897425</v>
      </c>
      <c r="G48" s="27"/>
      <c r="H48" s="32">
        <v>60897425</v>
      </c>
    </row>
    <row r="49" spans="1:8" ht="13.5" thickTop="1">
      <c r="A49" s="10">
        <v>5</v>
      </c>
      <c r="B49" s="42" t="s">
        <v>1211</v>
      </c>
      <c r="C49" s="8"/>
      <c r="D49" s="8"/>
      <c r="E49" s="8"/>
      <c r="F49" s="46"/>
      <c r="G49" s="27"/>
      <c r="H49" s="46"/>
    </row>
    <row r="50" spans="1:8" ht="12.75">
      <c r="A50" s="8"/>
      <c r="B50" s="38"/>
      <c r="C50" s="8"/>
      <c r="D50" s="8"/>
      <c r="E50" s="8"/>
      <c r="F50" s="46"/>
      <c r="G50" s="27"/>
      <c r="H50" s="46"/>
    </row>
    <row r="51" spans="1:8" ht="12.75">
      <c r="A51" s="8"/>
      <c r="B51" s="38" t="s">
        <v>1212</v>
      </c>
      <c r="C51" s="8"/>
      <c r="D51" s="8"/>
      <c r="E51" s="8"/>
      <c r="F51" s="23">
        <v>16624628</v>
      </c>
      <c r="G51" s="27"/>
      <c r="H51" s="23">
        <v>16624628</v>
      </c>
    </row>
    <row r="52" spans="1:8" ht="12.75">
      <c r="A52" s="8"/>
      <c r="B52" s="38"/>
      <c r="C52" s="8"/>
      <c r="D52" s="8"/>
      <c r="E52" s="8"/>
      <c r="F52" s="46"/>
      <c r="G52" s="27"/>
      <c r="H52" s="46"/>
    </row>
    <row r="53" spans="1:8" ht="12.75">
      <c r="A53" s="10">
        <v>6</v>
      </c>
      <c r="B53" s="1267" t="s">
        <v>1213</v>
      </c>
      <c r="C53" s="1267"/>
      <c r="D53" s="10"/>
      <c r="E53" s="10"/>
      <c r="F53" s="10"/>
      <c r="G53" s="10"/>
      <c r="H53" s="10"/>
    </row>
    <row r="54" spans="1:8" ht="12.75">
      <c r="A54" s="8"/>
      <c r="B54" s="38"/>
      <c r="C54" s="8"/>
      <c r="D54" s="8"/>
      <c r="E54" s="8"/>
      <c r="F54" s="10"/>
      <c r="G54" s="10"/>
      <c r="H54" s="10"/>
    </row>
    <row r="55" spans="1:8" ht="13.5" thickBot="1">
      <c r="A55" s="8"/>
      <c r="B55" s="1296" t="s">
        <v>1214</v>
      </c>
      <c r="C55" s="1292"/>
      <c r="D55" s="1292"/>
      <c r="E55" s="8"/>
      <c r="F55" s="26">
        <v>16795965</v>
      </c>
      <c r="G55" s="25"/>
      <c r="H55" s="26">
        <v>16795965</v>
      </c>
    </row>
    <row r="56" spans="1:8" ht="12.75">
      <c r="A56" s="8"/>
      <c r="B56" s="38" t="s">
        <v>1215</v>
      </c>
      <c r="C56" s="8"/>
      <c r="D56" s="8"/>
      <c r="E56" s="28"/>
      <c r="F56" s="47">
        <v>8230431</v>
      </c>
      <c r="G56" s="47"/>
      <c r="H56" s="47">
        <v>8230431</v>
      </c>
    </row>
    <row r="57" spans="1:8" ht="12.75">
      <c r="A57" s="8"/>
      <c r="B57" s="38" t="s">
        <v>1216</v>
      </c>
      <c r="C57" s="8"/>
      <c r="D57" s="8"/>
      <c r="E57" s="28"/>
      <c r="F57" s="47">
        <v>5889274</v>
      </c>
      <c r="G57" s="47"/>
      <c r="H57" s="47">
        <v>5889274</v>
      </c>
    </row>
    <row r="58" spans="1:8" ht="12.75">
      <c r="A58" s="8"/>
      <c r="B58" s="38" t="s">
        <v>1217</v>
      </c>
      <c r="C58" s="8"/>
      <c r="D58" s="8"/>
      <c r="E58" s="28"/>
      <c r="F58" s="47">
        <v>0</v>
      </c>
      <c r="G58" s="47"/>
      <c r="H58" s="47">
        <v>0</v>
      </c>
    </row>
    <row r="59" spans="1:8" ht="12.75">
      <c r="A59" s="8"/>
      <c r="B59" s="38" t="s">
        <v>1218</v>
      </c>
      <c r="C59" s="8"/>
      <c r="D59" s="8"/>
      <c r="E59" s="28"/>
      <c r="F59" s="47">
        <v>193722</v>
      </c>
      <c r="G59" s="47"/>
      <c r="H59" s="47">
        <v>193722</v>
      </c>
    </row>
    <row r="60" spans="1:8" ht="12.75">
      <c r="A60" s="8"/>
      <c r="B60" s="38" t="s">
        <v>1219</v>
      </c>
      <c r="C60" s="8"/>
      <c r="D60" s="8"/>
      <c r="E60" s="28"/>
      <c r="F60" s="47">
        <v>0</v>
      </c>
      <c r="G60" s="47"/>
      <c r="H60" s="47">
        <v>0</v>
      </c>
    </row>
    <row r="61" spans="1:8" ht="12.75">
      <c r="A61" s="8"/>
      <c r="B61" s="38" t="s">
        <v>1220</v>
      </c>
      <c r="C61" s="8"/>
      <c r="D61" s="8"/>
      <c r="E61" s="28"/>
      <c r="F61" s="47">
        <v>1016389</v>
      </c>
      <c r="G61" s="47"/>
      <c r="H61" s="47">
        <v>1016389</v>
      </c>
    </row>
    <row r="62" spans="1:8" ht="12.75">
      <c r="A62" s="8"/>
      <c r="B62" s="38" t="s">
        <v>1221</v>
      </c>
      <c r="C62" s="8"/>
      <c r="D62" s="8"/>
      <c r="E62" s="28"/>
      <c r="F62" s="47">
        <v>1033220</v>
      </c>
      <c r="G62" s="47"/>
      <c r="H62" s="47">
        <v>1033220</v>
      </c>
    </row>
    <row r="63" spans="1:8" ht="13.5" thickBot="1">
      <c r="A63" s="8"/>
      <c r="B63" s="48" t="s">
        <v>1133</v>
      </c>
      <c r="C63" s="8"/>
      <c r="D63" s="8"/>
      <c r="E63" s="28"/>
      <c r="F63" s="49">
        <v>432929</v>
      </c>
      <c r="G63" s="47"/>
      <c r="H63" s="49">
        <v>432929</v>
      </c>
    </row>
    <row r="64" spans="6:8" ht="12.75">
      <c r="F64" s="1"/>
      <c r="G64" s="1"/>
      <c r="H64" s="1"/>
    </row>
    <row r="65" spans="1:8" ht="13.5" thickBot="1">
      <c r="A65" s="8"/>
      <c r="B65" s="50" t="s">
        <v>1222</v>
      </c>
      <c r="C65" s="8"/>
      <c r="D65" s="8"/>
      <c r="E65" s="8"/>
      <c r="F65" s="26">
        <v>10079</v>
      </c>
      <c r="G65" s="23"/>
      <c r="H65" s="26">
        <v>10079</v>
      </c>
    </row>
    <row r="66" spans="1:8" ht="12.75">
      <c r="A66" s="8"/>
      <c r="B66" s="38" t="s">
        <v>1223</v>
      </c>
      <c r="C66" s="8"/>
      <c r="D66" s="8"/>
      <c r="E66" s="28"/>
      <c r="F66" s="47">
        <v>0</v>
      </c>
      <c r="G66" s="47"/>
      <c r="H66" s="47">
        <v>0</v>
      </c>
    </row>
    <row r="67" spans="1:8" ht="13.5" thickBot="1">
      <c r="A67" s="8"/>
      <c r="B67" s="38" t="s">
        <v>1224</v>
      </c>
      <c r="C67" s="8"/>
      <c r="D67" s="8"/>
      <c r="E67" s="28"/>
      <c r="F67" s="49">
        <v>10079</v>
      </c>
      <c r="G67" s="47"/>
      <c r="H67" s="49">
        <v>10079</v>
      </c>
    </row>
    <row r="68" spans="1:8" ht="13.5" thickBot="1">
      <c r="A68" s="8"/>
      <c r="B68" s="38"/>
      <c r="C68" s="8"/>
      <c r="D68" s="8"/>
      <c r="E68" s="8"/>
      <c r="F68" s="26"/>
      <c r="G68" s="23"/>
      <c r="H68" s="26"/>
    </row>
    <row r="69" spans="1:8" ht="13.5" thickBot="1">
      <c r="A69" s="10"/>
      <c r="B69" s="42" t="s">
        <v>1285</v>
      </c>
      <c r="C69" s="10"/>
      <c r="D69" s="10"/>
      <c r="E69" s="10"/>
      <c r="F69" s="32">
        <v>16806044</v>
      </c>
      <c r="G69" s="51"/>
      <c r="H69" s="32">
        <v>16806044</v>
      </c>
    </row>
    <row r="70" spans="1:8" ht="13.5" thickTop="1">
      <c r="A70" s="1297"/>
      <c r="B70" s="1269" t="s">
        <v>1286</v>
      </c>
      <c r="C70" s="1292"/>
      <c r="D70" s="1292"/>
      <c r="E70" s="1297"/>
      <c r="F70" s="52"/>
      <c r="G70" s="53"/>
      <c r="H70" s="52"/>
    </row>
    <row r="71" spans="1:8" ht="12.75">
      <c r="A71" s="1297"/>
      <c r="B71" s="1269"/>
      <c r="C71" s="1292"/>
      <c r="D71" s="1292"/>
      <c r="E71" s="1297"/>
      <c r="F71" s="53"/>
      <c r="G71" s="53"/>
      <c r="H71" s="53"/>
    </row>
    <row r="72" spans="1:8" ht="12.75">
      <c r="A72" s="10">
        <v>7</v>
      </c>
      <c r="B72" s="42" t="s">
        <v>1287</v>
      </c>
      <c r="C72" s="8"/>
      <c r="D72" s="8"/>
      <c r="E72" s="8"/>
      <c r="F72" s="23"/>
      <c r="G72" s="27"/>
      <c r="H72" s="23"/>
    </row>
    <row r="73" spans="1:8" ht="12.75">
      <c r="A73" s="8"/>
      <c r="B73" s="38"/>
      <c r="C73" s="8"/>
      <c r="D73" s="8"/>
      <c r="E73" s="8"/>
      <c r="F73" s="27"/>
      <c r="G73" s="27"/>
      <c r="H73" s="27"/>
    </row>
    <row r="74" spans="1:8" ht="13.5" thickBot="1">
      <c r="A74" s="8"/>
      <c r="B74" s="38" t="s">
        <v>1288</v>
      </c>
      <c r="C74" s="8"/>
      <c r="D74" s="8"/>
      <c r="E74" s="8"/>
      <c r="F74" s="32">
        <v>24619201</v>
      </c>
      <c r="G74" s="41"/>
      <c r="H74" s="32">
        <v>24619201</v>
      </c>
    </row>
    <row r="75" spans="1:8" ht="13.5" thickTop="1">
      <c r="A75" s="8"/>
      <c r="B75" s="38"/>
      <c r="C75" s="8"/>
      <c r="D75" s="8"/>
      <c r="E75" s="8"/>
      <c r="F75" s="27"/>
      <c r="G75" s="27"/>
      <c r="H75" s="27"/>
    </row>
    <row r="76" spans="1:8" ht="12.75">
      <c r="A76" s="8"/>
      <c r="B76" s="1294" t="s">
        <v>1289</v>
      </c>
      <c r="C76" s="1292"/>
      <c r="D76" s="1292"/>
      <c r="E76" s="8"/>
      <c r="F76" s="27"/>
      <c r="G76" s="27"/>
      <c r="H76" s="27"/>
    </row>
    <row r="77" spans="1:8" ht="12.75">
      <c r="A77" s="1293" t="s">
        <v>1290</v>
      </c>
      <c r="B77" s="1293"/>
      <c r="C77" s="1293"/>
      <c r="D77" s="1293"/>
      <c r="E77" s="1293"/>
      <c r="F77" s="1293"/>
      <c r="G77" s="1293"/>
      <c r="H77" s="1293"/>
    </row>
    <row r="78" spans="1:8" ht="12.75">
      <c r="A78" s="8"/>
      <c r="B78" s="38"/>
      <c r="C78" s="8"/>
      <c r="D78" s="8"/>
      <c r="E78" s="8"/>
      <c r="F78" s="27"/>
      <c r="G78" s="27"/>
      <c r="H78" s="27"/>
    </row>
    <row r="79" spans="1:8" ht="12.75">
      <c r="A79" s="10">
        <v>9</v>
      </c>
      <c r="B79" s="42" t="s">
        <v>1291</v>
      </c>
      <c r="C79" s="8"/>
      <c r="D79" s="8"/>
      <c r="E79" s="8"/>
      <c r="F79" s="51"/>
      <c r="G79" s="41"/>
      <c r="H79" s="51"/>
    </row>
    <row r="80" spans="1:8" ht="12.75">
      <c r="A80" s="8"/>
      <c r="B80" s="42"/>
      <c r="C80" s="8"/>
      <c r="D80" s="8"/>
      <c r="E80" s="8"/>
      <c r="F80" s="27"/>
      <c r="G80" s="27"/>
      <c r="H80" s="27"/>
    </row>
    <row r="81" spans="1:8" ht="13.5" thickBot="1">
      <c r="A81" s="8"/>
      <c r="B81" s="54" t="s">
        <v>1292</v>
      </c>
      <c r="C81" s="8"/>
      <c r="D81" s="8"/>
      <c r="E81" s="8"/>
      <c r="F81" s="43"/>
      <c r="G81" s="27"/>
      <c r="H81" s="43"/>
    </row>
    <row r="82" spans="1:8" ht="13.5" thickBot="1">
      <c r="A82" s="8"/>
      <c r="B82" s="38" t="s">
        <v>1293</v>
      </c>
      <c r="C82" s="8"/>
      <c r="D82" s="8"/>
      <c r="E82" s="8"/>
      <c r="F82" s="32">
        <v>74322464</v>
      </c>
      <c r="G82" s="41"/>
      <c r="H82" s="32">
        <v>74322464</v>
      </c>
    </row>
    <row r="83" spans="1:8" ht="13.5" thickTop="1">
      <c r="A83" s="8"/>
      <c r="B83" s="38"/>
      <c r="C83" s="8"/>
      <c r="D83" s="8"/>
      <c r="E83" s="8"/>
      <c r="F83" s="51"/>
      <c r="G83" s="41"/>
      <c r="H83" s="51"/>
    </row>
    <row r="84" spans="1:8" ht="12.75">
      <c r="A84" s="8"/>
      <c r="B84" s="42" t="s">
        <v>1294</v>
      </c>
      <c r="C84" s="8"/>
      <c r="D84" s="8"/>
      <c r="E84" s="8"/>
      <c r="F84" s="12"/>
      <c r="G84" s="10"/>
      <c r="H84" s="12"/>
    </row>
    <row r="85" spans="1:8" ht="12.75">
      <c r="A85" s="8"/>
      <c r="B85" s="38" t="s">
        <v>1295</v>
      </c>
      <c r="C85" s="8"/>
      <c r="D85" s="8"/>
      <c r="E85" s="8"/>
      <c r="F85" s="23">
        <v>74322464</v>
      </c>
      <c r="G85" s="41"/>
      <c r="H85" s="23">
        <v>74322464</v>
      </c>
    </row>
    <row r="86" spans="1:8" ht="12.75">
      <c r="A86" s="8"/>
      <c r="B86" s="17" t="s">
        <v>1133</v>
      </c>
      <c r="C86" s="17"/>
      <c r="D86" s="17"/>
      <c r="E86" s="17"/>
      <c r="F86" s="55">
        <v>0</v>
      </c>
      <c r="G86" s="55"/>
      <c r="H86" s="55">
        <v>0</v>
      </c>
    </row>
    <row r="87" spans="1:8" ht="12.75">
      <c r="A87" s="8"/>
      <c r="B87" s="38"/>
      <c r="C87" s="38"/>
      <c r="D87" s="38"/>
      <c r="E87" s="38"/>
      <c r="F87" s="56"/>
      <c r="G87" s="56"/>
      <c r="H87" s="56"/>
    </row>
    <row r="88" spans="1:8" ht="12.75">
      <c r="A88" s="10">
        <v>10</v>
      </c>
      <c r="B88" s="42" t="s">
        <v>1296</v>
      </c>
      <c r="C88" s="10"/>
      <c r="D88" s="10"/>
      <c r="E88" s="10"/>
      <c r="F88" s="41"/>
      <c r="G88" s="41"/>
      <c r="H88" s="41"/>
    </row>
    <row r="89" spans="1:8" ht="12.75">
      <c r="A89" s="8"/>
      <c r="B89" s="38"/>
      <c r="C89" s="8"/>
      <c r="D89" s="8"/>
      <c r="E89" s="8"/>
      <c r="F89" s="27"/>
      <c r="G89" s="27"/>
      <c r="H89" s="27"/>
    </row>
    <row r="90" spans="1:8" ht="12.75">
      <c r="A90" s="8"/>
      <c r="B90" s="38" t="s">
        <v>1297</v>
      </c>
      <c r="C90" s="8"/>
      <c r="D90" s="8"/>
      <c r="E90" s="8"/>
      <c r="F90" s="23">
        <v>10426470</v>
      </c>
      <c r="G90" s="27"/>
      <c r="H90" s="23">
        <v>10426470</v>
      </c>
    </row>
    <row r="91" spans="1:8" ht="12.75">
      <c r="A91" s="8"/>
      <c r="B91" s="38" t="s">
        <v>1298</v>
      </c>
      <c r="C91" s="8"/>
      <c r="D91" s="8"/>
      <c r="E91" s="8"/>
      <c r="F91" s="23">
        <v>5530490</v>
      </c>
      <c r="G91" s="27"/>
      <c r="H91" s="23">
        <v>5530490</v>
      </c>
    </row>
    <row r="92" spans="1:8" ht="12.75">
      <c r="A92" s="8"/>
      <c r="B92" s="38" t="s">
        <v>1299</v>
      </c>
      <c r="C92" s="8"/>
      <c r="D92" s="8"/>
      <c r="E92" s="8"/>
      <c r="F92" s="57">
        <v>2784572</v>
      </c>
      <c r="G92" s="58"/>
      <c r="H92" s="57">
        <v>2784572</v>
      </c>
    </row>
    <row r="93" spans="1:8" ht="12.75">
      <c r="A93" s="8"/>
      <c r="B93" s="38" t="s">
        <v>1300</v>
      </c>
      <c r="C93" s="8"/>
      <c r="D93" s="8"/>
      <c r="E93" s="8"/>
      <c r="F93" s="57">
        <v>2448808</v>
      </c>
      <c r="G93" s="58"/>
      <c r="H93" s="57">
        <v>2448808</v>
      </c>
    </row>
    <row r="94" spans="1:8" ht="13.5" thickBot="1">
      <c r="A94" s="8"/>
      <c r="B94" s="38" t="s">
        <v>1301</v>
      </c>
      <c r="C94" s="8"/>
      <c r="D94" s="8"/>
      <c r="E94" s="8"/>
      <c r="F94" s="26">
        <v>227245</v>
      </c>
      <c r="G94" s="27"/>
      <c r="H94" s="26">
        <v>227245</v>
      </c>
    </row>
    <row r="95" spans="1:8" ht="12.75">
      <c r="A95" s="8"/>
      <c r="B95" s="38"/>
      <c r="C95" s="8"/>
      <c r="D95" s="8"/>
      <c r="E95" s="8"/>
      <c r="F95" s="23">
        <v>21417585</v>
      </c>
      <c r="G95" s="27"/>
      <c r="H95" s="23">
        <v>21417585</v>
      </c>
    </row>
    <row r="96" spans="1:8" ht="13.5" thickBot="1">
      <c r="A96" s="8"/>
      <c r="B96" s="1269" t="s">
        <v>1302</v>
      </c>
      <c r="C96" s="1292"/>
      <c r="D96" s="1292"/>
      <c r="E96" s="8"/>
      <c r="F96" s="26">
        <v>7453410</v>
      </c>
      <c r="G96" s="27"/>
      <c r="H96" s="26">
        <v>7453410</v>
      </c>
    </row>
    <row r="97" spans="1:8" ht="12.75">
      <c r="A97" s="8"/>
      <c r="B97" s="38" t="s">
        <v>1297</v>
      </c>
      <c r="C97" s="8"/>
      <c r="D97" s="8"/>
      <c r="E97" s="28"/>
      <c r="F97" s="47"/>
      <c r="G97" s="30"/>
      <c r="H97" s="47"/>
    </row>
    <row r="98" spans="1:8" ht="12.75">
      <c r="A98" s="8"/>
      <c r="B98" s="38" t="s">
        <v>1298</v>
      </c>
      <c r="C98" s="8"/>
      <c r="D98" s="8"/>
      <c r="E98" s="28"/>
      <c r="F98" s="47">
        <v>7453410</v>
      </c>
      <c r="G98" s="30"/>
      <c r="H98" s="47">
        <v>7453410</v>
      </c>
    </row>
    <row r="99" spans="1:8" ht="13.5" thickBot="1">
      <c r="A99" s="8"/>
      <c r="B99" s="38" t="s">
        <v>1133</v>
      </c>
      <c r="C99" s="8"/>
      <c r="D99" s="8"/>
      <c r="E99" s="28"/>
      <c r="F99" s="49"/>
      <c r="G99" s="30"/>
      <c r="H99" s="49"/>
    </row>
    <row r="100" spans="1:8" ht="13.5" thickBot="1">
      <c r="A100" s="10"/>
      <c r="B100" s="42" t="s">
        <v>1178</v>
      </c>
      <c r="C100" s="10"/>
      <c r="D100" s="10"/>
      <c r="E100" s="10"/>
      <c r="F100" s="32">
        <v>13964175</v>
      </c>
      <c r="G100" s="41"/>
      <c r="H100" s="32">
        <v>13964175</v>
      </c>
    </row>
    <row r="101" spans="1:8" ht="13.5" thickTop="1">
      <c r="A101" s="10"/>
      <c r="B101" s="42"/>
      <c r="C101" s="10"/>
      <c r="D101" s="10"/>
      <c r="E101" s="10"/>
      <c r="F101" s="46"/>
      <c r="G101" s="41"/>
      <c r="H101" s="46"/>
    </row>
    <row r="102" spans="1:8" ht="12.75">
      <c r="A102" s="8"/>
      <c r="B102" s="38"/>
      <c r="C102" s="8"/>
      <c r="D102" s="8"/>
      <c r="E102" s="8"/>
      <c r="F102" s="27"/>
      <c r="G102" s="27"/>
      <c r="H102" s="27"/>
    </row>
    <row r="103" spans="1:8" ht="12.75">
      <c r="A103" s="8"/>
      <c r="B103" s="50" t="s">
        <v>1303</v>
      </c>
      <c r="C103" s="8"/>
      <c r="D103" s="8"/>
      <c r="E103" s="8"/>
      <c r="F103" s="8"/>
      <c r="G103" s="8"/>
      <c r="H103" s="8"/>
    </row>
    <row r="104" spans="1:8" ht="12.75">
      <c r="A104" s="8"/>
      <c r="B104" s="1264" t="s">
        <v>1304</v>
      </c>
      <c r="C104" s="1264"/>
      <c r="D104" s="1264"/>
      <c r="E104" s="1264"/>
      <c r="F104" s="1264"/>
      <c r="G104" s="1264"/>
      <c r="H104" s="1264"/>
    </row>
    <row r="105" spans="1:8" ht="12.75">
      <c r="A105" s="8"/>
      <c r="B105" s="38"/>
      <c r="C105" s="38"/>
      <c r="D105" s="38"/>
      <c r="E105" s="38"/>
      <c r="F105" s="38"/>
      <c r="G105" s="38"/>
      <c r="H105" s="38"/>
    </row>
    <row r="106" spans="1:8" ht="12.75">
      <c r="A106" s="8"/>
      <c r="B106" s="38"/>
      <c r="C106" s="8"/>
      <c r="D106" s="8"/>
      <c r="E106" s="8"/>
      <c r="F106" s="8"/>
      <c r="G106" s="8"/>
      <c r="H106" s="8"/>
    </row>
    <row r="107" spans="1:8" ht="12.75">
      <c r="A107" s="8"/>
      <c r="B107" s="50" t="s">
        <v>1305</v>
      </c>
      <c r="C107" s="8"/>
      <c r="D107" s="8"/>
      <c r="E107" s="8"/>
      <c r="F107" s="8"/>
      <c r="G107" s="8"/>
      <c r="H107" s="8"/>
    </row>
    <row r="108" spans="1:8" ht="12.75">
      <c r="A108" s="8"/>
      <c r="B108" s="1264" t="s">
        <v>1306</v>
      </c>
      <c r="C108" s="1264"/>
      <c r="D108" s="1264"/>
      <c r="E108" s="1264"/>
      <c r="F108" s="1264"/>
      <c r="G108" s="1264"/>
      <c r="H108" s="1264"/>
    </row>
    <row r="109" spans="1:8" ht="12.75">
      <c r="A109" s="8"/>
      <c r="B109" s="38"/>
      <c r="C109" s="8"/>
      <c r="D109" s="8"/>
      <c r="E109" s="8"/>
      <c r="F109" s="8"/>
      <c r="G109" s="8"/>
      <c r="H109" s="8"/>
    </row>
    <row r="110" spans="1:8" ht="12.75">
      <c r="A110" s="8"/>
      <c r="B110" s="38"/>
      <c r="C110" s="8"/>
      <c r="D110" s="8"/>
      <c r="E110" s="8"/>
      <c r="F110" s="8"/>
      <c r="G110" s="8"/>
      <c r="H110" s="8"/>
    </row>
    <row r="111" spans="1:8" ht="12.75">
      <c r="A111" s="10">
        <v>11</v>
      </c>
      <c r="B111" s="42" t="s">
        <v>1307</v>
      </c>
      <c r="C111" s="8"/>
      <c r="D111" s="8"/>
      <c r="E111" s="8"/>
      <c r="F111" s="8"/>
      <c r="G111" s="8"/>
      <c r="H111" s="8"/>
    </row>
    <row r="112" spans="1:8" ht="12.75">
      <c r="A112" s="8"/>
      <c r="B112" s="38"/>
      <c r="C112" s="8"/>
      <c r="D112" s="8"/>
      <c r="E112" s="8"/>
      <c r="F112" s="8"/>
      <c r="G112" s="8"/>
      <c r="H112" s="8"/>
    </row>
    <row r="113" spans="1:8" ht="12.75">
      <c r="A113" s="8"/>
      <c r="B113" s="38" t="s">
        <v>1308</v>
      </c>
      <c r="C113" s="8"/>
      <c r="D113" s="8"/>
      <c r="E113" s="8"/>
      <c r="F113" s="23">
        <v>4394740</v>
      </c>
      <c r="G113" s="27"/>
      <c r="H113" s="23">
        <v>4394740</v>
      </c>
    </row>
    <row r="114" spans="1:8" ht="13.5" thickBot="1">
      <c r="A114" s="8"/>
      <c r="B114" s="38"/>
      <c r="C114" s="8"/>
      <c r="D114" s="8"/>
      <c r="E114" s="8"/>
      <c r="F114" s="26"/>
      <c r="G114" s="27"/>
      <c r="H114" s="26"/>
    </row>
    <row r="115" spans="1:8" ht="13.5" thickBot="1">
      <c r="A115" s="10"/>
      <c r="B115" s="42" t="s">
        <v>1309</v>
      </c>
      <c r="C115" s="10"/>
      <c r="D115" s="10"/>
      <c r="E115" s="10"/>
      <c r="F115" s="32">
        <v>4394740</v>
      </c>
      <c r="G115" s="41"/>
      <c r="H115" s="32">
        <v>4693622</v>
      </c>
    </row>
    <row r="116" spans="1:8" ht="13.5" thickTop="1">
      <c r="A116" s="10"/>
      <c r="B116" s="42"/>
      <c r="C116" s="10"/>
      <c r="D116" s="10"/>
      <c r="E116" s="10"/>
      <c r="F116" s="46"/>
      <c r="G116" s="41"/>
      <c r="H116" s="46"/>
    </row>
    <row r="117" spans="1:8" ht="12.75">
      <c r="A117" s="10"/>
      <c r="B117" s="42"/>
      <c r="C117" s="10"/>
      <c r="D117" s="10"/>
      <c r="E117" s="10"/>
      <c r="F117" s="51"/>
      <c r="G117" s="51"/>
      <c r="H117" s="51"/>
    </row>
    <row r="118" spans="1:8" ht="12.75">
      <c r="A118" s="10">
        <v>12</v>
      </c>
      <c r="B118" s="42" t="s">
        <v>1310</v>
      </c>
      <c r="C118" s="10"/>
      <c r="D118" s="10"/>
      <c r="E118" s="10"/>
      <c r="F118" s="12"/>
      <c r="G118" s="12"/>
      <c r="H118" s="12"/>
    </row>
    <row r="119" spans="1:8" ht="27" customHeight="1">
      <c r="A119" s="8"/>
      <c r="B119" s="42"/>
      <c r="D119" s="59" t="s">
        <v>1311</v>
      </c>
      <c r="E119" s="10"/>
      <c r="F119" s="59" t="s">
        <v>1312</v>
      </c>
      <c r="G119" s="12"/>
      <c r="H119" s="59" t="s">
        <v>1313</v>
      </c>
    </row>
    <row r="120" spans="1:8" ht="12.75">
      <c r="A120" s="8"/>
      <c r="B120" s="42" t="s">
        <v>176</v>
      </c>
      <c r="D120" s="12" t="s">
        <v>1186</v>
      </c>
      <c r="E120" s="8"/>
      <c r="F120" s="12" t="s">
        <v>1186</v>
      </c>
      <c r="G120" s="8"/>
      <c r="H120" s="12" t="s">
        <v>1186</v>
      </c>
    </row>
    <row r="121" spans="1:8" ht="12.75">
      <c r="A121" s="8"/>
      <c r="B121" s="38" t="s">
        <v>1315</v>
      </c>
      <c r="C121" s="25"/>
      <c r="D121" s="27"/>
      <c r="E121" s="27"/>
      <c r="F121" s="23"/>
      <c r="G121" s="27"/>
      <c r="H121" s="23"/>
    </row>
    <row r="122" spans="1:8" ht="12.75">
      <c r="A122" s="8"/>
      <c r="B122" s="38" t="s">
        <v>1316</v>
      </c>
      <c r="C122" s="25"/>
      <c r="D122" s="27">
        <v>69114892</v>
      </c>
      <c r="E122" s="27"/>
      <c r="F122" s="23">
        <v>52962535</v>
      </c>
      <c r="G122" s="27"/>
      <c r="H122" s="23">
        <v>16152357</v>
      </c>
    </row>
    <row r="123" spans="1:8" ht="12.75">
      <c r="A123" s="8"/>
      <c r="B123" s="38" t="s">
        <v>1317</v>
      </c>
      <c r="C123" s="25"/>
      <c r="D123" s="27">
        <v>73665852</v>
      </c>
      <c r="E123" s="27"/>
      <c r="F123" s="23">
        <v>58099379</v>
      </c>
      <c r="G123" s="27"/>
      <c r="H123" s="23">
        <v>15566473</v>
      </c>
    </row>
    <row r="124" spans="1:8" ht="12.75">
      <c r="A124" s="8"/>
      <c r="B124" s="38" t="s">
        <v>1318</v>
      </c>
      <c r="C124" s="25"/>
      <c r="D124" s="27">
        <v>32640766</v>
      </c>
      <c r="E124" s="27"/>
      <c r="F124" s="23">
        <v>14983597</v>
      </c>
      <c r="G124" s="27"/>
      <c r="H124" s="23">
        <v>17657169</v>
      </c>
    </row>
    <row r="125" spans="1:8" ht="12.75">
      <c r="A125" s="8"/>
      <c r="B125" s="38" t="s">
        <v>1319</v>
      </c>
      <c r="C125" s="25"/>
      <c r="D125" s="27">
        <v>65435918</v>
      </c>
      <c r="E125" s="27"/>
      <c r="F125" s="23">
        <v>56364348</v>
      </c>
      <c r="G125" s="27"/>
      <c r="H125" s="23">
        <v>9071570</v>
      </c>
    </row>
    <row r="126" spans="1:8" ht="12.75">
      <c r="A126" s="8"/>
      <c r="B126" s="38" t="s">
        <v>1320</v>
      </c>
      <c r="C126" s="25"/>
      <c r="D126" s="27">
        <v>17274786</v>
      </c>
      <c r="E126" s="27"/>
      <c r="F126" s="23">
        <v>13641572</v>
      </c>
      <c r="G126" s="27"/>
      <c r="H126" s="23">
        <v>3633214</v>
      </c>
    </row>
    <row r="127" spans="1:8" ht="12.75">
      <c r="A127" s="8"/>
      <c r="B127" s="38" t="s">
        <v>1321</v>
      </c>
      <c r="D127" s="23">
        <v>83176892</v>
      </c>
      <c r="E127" s="27"/>
      <c r="F127" s="23">
        <v>72777470</v>
      </c>
      <c r="G127" s="27"/>
      <c r="H127" s="23">
        <v>10399422</v>
      </c>
    </row>
    <row r="128" spans="1:8" ht="13.5" thickBot="1">
      <c r="A128" s="8"/>
      <c r="B128" s="38" t="s">
        <v>1322</v>
      </c>
      <c r="D128" s="26">
        <v>39730132</v>
      </c>
      <c r="E128" s="27"/>
      <c r="F128" s="26">
        <v>32977807</v>
      </c>
      <c r="G128" s="27"/>
      <c r="H128" s="26">
        <v>6752325</v>
      </c>
    </row>
    <row r="129" spans="1:8" ht="12.75">
      <c r="A129" s="12"/>
      <c r="B129" s="42" t="s">
        <v>1178</v>
      </c>
      <c r="D129" s="46">
        <v>381039238</v>
      </c>
      <c r="E129" s="60"/>
      <c r="F129" s="46">
        <v>301806708</v>
      </c>
      <c r="G129" s="60"/>
      <c r="H129" s="46">
        <v>79232530</v>
      </c>
    </row>
    <row r="130" spans="1:8" ht="12.75">
      <c r="A130" s="12"/>
      <c r="B130" s="42" t="s">
        <v>1323</v>
      </c>
      <c r="C130" s="2"/>
      <c r="D130" s="46">
        <v>14280103</v>
      </c>
      <c r="E130" s="53"/>
      <c r="F130" s="46"/>
      <c r="G130" s="41"/>
      <c r="H130" s="46">
        <v>14280103</v>
      </c>
    </row>
    <row r="131" spans="1:8" ht="13.5" thickBot="1">
      <c r="A131" s="12"/>
      <c r="B131" s="42"/>
      <c r="C131" s="2"/>
      <c r="D131" s="61">
        <v>395319341</v>
      </c>
      <c r="E131" s="62"/>
      <c r="F131" s="61">
        <v>301806708</v>
      </c>
      <c r="G131" s="63"/>
      <c r="H131" s="61">
        <v>93512633</v>
      </c>
    </row>
    <row r="132" spans="4:8" ht="13.5" thickTop="1">
      <c r="D132" s="1"/>
      <c r="E132" s="1"/>
      <c r="F132" s="1"/>
      <c r="G132" s="1"/>
      <c r="H132" s="1"/>
    </row>
    <row r="133" spans="1:8" ht="12.75">
      <c r="A133" s="8"/>
      <c r="B133" s="42" t="s">
        <v>1314</v>
      </c>
      <c r="D133" s="53"/>
      <c r="E133" s="64"/>
      <c r="F133" s="51"/>
      <c r="G133" s="27"/>
      <c r="H133" s="51"/>
    </row>
    <row r="134" spans="1:8" ht="12.75">
      <c r="A134" s="8"/>
      <c r="B134" s="38" t="s">
        <v>1315</v>
      </c>
      <c r="D134" s="64"/>
      <c r="E134" s="64"/>
      <c r="F134" s="23"/>
      <c r="G134" s="27"/>
      <c r="H134" s="23"/>
    </row>
    <row r="135" spans="1:8" ht="12.75">
      <c r="A135" s="8"/>
      <c r="B135" s="38" t="s">
        <v>1316</v>
      </c>
      <c r="D135" s="27">
        <v>69114892</v>
      </c>
      <c r="E135" s="27"/>
      <c r="F135" s="23">
        <v>52962535</v>
      </c>
      <c r="G135" s="27"/>
      <c r="H135" s="23">
        <v>16152357</v>
      </c>
    </row>
    <row r="136" spans="1:8" ht="12.75">
      <c r="A136" s="8"/>
      <c r="B136" s="38" t="s">
        <v>1317</v>
      </c>
      <c r="D136" s="27">
        <v>73665852</v>
      </c>
      <c r="E136" s="27"/>
      <c r="F136" s="23">
        <v>58099379</v>
      </c>
      <c r="G136" s="27"/>
      <c r="H136" s="23">
        <v>15566473</v>
      </c>
    </row>
    <row r="137" spans="1:8" ht="12.75">
      <c r="A137" s="8"/>
      <c r="B137" s="38" t="s">
        <v>1318</v>
      </c>
      <c r="D137" s="27">
        <v>32640766</v>
      </c>
      <c r="E137" s="27"/>
      <c r="F137" s="23">
        <v>14983597</v>
      </c>
      <c r="G137" s="27"/>
      <c r="H137" s="23">
        <v>17657169</v>
      </c>
    </row>
    <row r="138" spans="1:8" ht="12.75">
      <c r="A138" s="8"/>
      <c r="B138" s="38" t="s">
        <v>1319</v>
      </c>
      <c r="D138" s="27">
        <v>65435918</v>
      </c>
      <c r="E138" s="27"/>
      <c r="F138" s="23">
        <v>56364348</v>
      </c>
      <c r="G138" s="27"/>
      <c r="H138" s="23">
        <v>9071570</v>
      </c>
    </row>
    <row r="139" spans="1:8" ht="12.75">
      <c r="A139" s="8"/>
      <c r="B139" s="38" t="s">
        <v>1320</v>
      </c>
      <c r="D139" s="27">
        <v>17274786</v>
      </c>
      <c r="E139" s="27"/>
      <c r="F139" s="23">
        <v>13641572</v>
      </c>
      <c r="G139" s="27"/>
      <c r="H139" s="23">
        <v>3633214</v>
      </c>
    </row>
    <row r="140" spans="1:8" ht="12.75">
      <c r="A140" s="8"/>
      <c r="B140" s="38" t="s">
        <v>1321</v>
      </c>
      <c r="D140" s="23">
        <v>83176892</v>
      </c>
      <c r="E140" s="27"/>
      <c r="F140" s="23">
        <v>72777470</v>
      </c>
      <c r="G140" s="27"/>
      <c r="H140" s="23">
        <v>10399422</v>
      </c>
    </row>
    <row r="141" spans="1:8" ht="13.5" thickBot="1">
      <c r="A141" s="8"/>
      <c r="B141" s="38" t="s">
        <v>1322</v>
      </c>
      <c r="D141" s="26">
        <v>39730132</v>
      </c>
      <c r="E141" s="27"/>
      <c r="F141" s="26">
        <v>32977807</v>
      </c>
      <c r="G141" s="27"/>
      <c r="H141" s="26">
        <v>6752325</v>
      </c>
    </row>
    <row r="142" spans="1:8" ht="12.75">
      <c r="A142" s="8"/>
      <c r="B142" s="42" t="s">
        <v>1178</v>
      </c>
      <c r="C142" s="2"/>
      <c r="D142" s="46">
        <v>381039238</v>
      </c>
      <c r="E142" s="60"/>
      <c r="F142" s="46">
        <v>301806708</v>
      </c>
      <c r="G142" s="60"/>
      <c r="H142" s="46">
        <v>79232530</v>
      </c>
    </row>
    <row r="143" spans="1:8" ht="12.75">
      <c r="A143" s="8"/>
      <c r="B143" s="42" t="s">
        <v>1323</v>
      </c>
      <c r="C143" s="2"/>
      <c r="D143" s="46">
        <v>14280103</v>
      </c>
      <c r="E143" s="53"/>
      <c r="F143" s="46"/>
      <c r="G143" s="41"/>
      <c r="H143" s="46">
        <v>14280103</v>
      </c>
    </row>
    <row r="144" spans="1:8" ht="13.5" thickBot="1">
      <c r="A144" s="8"/>
      <c r="B144" s="42"/>
      <c r="C144" s="2"/>
      <c r="D144" s="61">
        <v>395319341</v>
      </c>
      <c r="E144" s="62"/>
      <c r="F144" s="61">
        <v>301806708</v>
      </c>
      <c r="G144" s="63"/>
      <c r="H144" s="61">
        <v>93512633</v>
      </c>
    </row>
    <row r="145" spans="1:8" ht="13.5" thickTop="1">
      <c r="A145" s="1293" t="s">
        <v>1324</v>
      </c>
      <c r="B145" s="1293"/>
      <c r="C145" s="1293"/>
      <c r="D145" s="1293"/>
      <c r="E145" s="1293"/>
      <c r="F145" s="1293"/>
      <c r="G145" s="1293"/>
      <c r="H145" s="1293"/>
    </row>
    <row r="146" spans="1:8" ht="12.75">
      <c r="A146" s="8"/>
      <c r="B146" s="50"/>
      <c r="C146" s="66"/>
      <c r="D146" s="66"/>
      <c r="E146" s="11"/>
      <c r="F146" s="6"/>
      <c r="G146" s="8"/>
      <c r="H146" s="67"/>
    </row>
    <row r="147" spans="1:8" ht="12.75">
      <c r="A147" s="8"/>
      <c r="B147" s="68" t="s">
        <v>1325</v>
      </c>
      <c r="C147" s="11"/>
      <c r="D147" s="11"/>
      <c r="E147" s="11"/>
      <c r="F147" s="69"/>
      <c r="G147" s="8"/>
      <c r="H147" s="25"/>
    </row>
    <row r="148" spans="1:8" ht="12.75">
      <c r="A148" s="8"/>
      <c r="B148" s="38" t="s">
        <v>1326</v>
      </c>
      <c r="C148" s="11"/>
      <c r="D148" s="11"/>
      <c r="E148" s="11"/>
      <c r="F148" s="23">
        <v>10842492</v>
      </c>
      <c r="G148" s="27"/>
      <c r="H148" s="23">
        <v>10842492</v>
      </c>
    </row>
    <row r="149" spans="1:8" ht="12.75">
      <c r="A149" s="8"/>
      <c r="B149" s="38" t="s">
        <v>1327</v>
      </c>
      <c r="C149" s="11"/>
      <c r="D149" s="11"/>
      <c r="E149" s="11"/>
      <c r="F149" s="23">
        <v>2745416</v>
      </c>
      <c r="G149" s="27"/>
      <c r="H149" s="23">
        <v>2745416</v>
      </c>
    </row>
    <row r="150" spans="1:8" ht="12.75">
      <c r="A150" s="8"/>
      <c r="B150" s="38" t="s">
        <v>1328</v>
      </c>
      <c r="C150" s="11"/>
      <c r="D150" s="11"/>
      <c r="E150" s="11"/>
      <c r="F150" s="23">
        <v>2564449</v>
      </c>
      <c r="G150" s="27"/>
      <c r="H150" s="23">
        <v>2564449</v>
      </c>
    </row>
    <row r="151" spans="1:8" ht="13.5" thickBot="1">
      <c r="A151" s="8"/>
      <c r="B151" s="38" t="s">
        <v>1329</v>
      </c>
      <c r="C151" s="11"/>
      <c r="D151" s="11"/>
      <c r="E151" s="11"/>
      <c r="F151" s="26">
        <v>52962535</v>
      </c>
      <c r="G151" s="27"/>
      <c r="H151" s="26">
        <v>52962535</v>
      </c>
    </row>
    <row r="152" spans="1:8" ht="13.5" thickBot="1">
      <c r="A152" s="10"/>
      <c r="B152" s="42" t="s">
        <v>1178</v>
      </c>
      <c r="C152" s="70"/>
      <c r="D152" s="70"/>
      <c r="E152" s="70"/>
      <c r="F152" s="32">
        <v>69114892</v>
      </c>
      <c r="G152" s="41"/>
      <c r="H152" s="32">
        <v>69114892</v>
      </c>
    </row>
    <row r="153" spans="1:8" ht="13.5" thickTop="1">
      <c r="A153" s="10"/>
      <c r="B153" s="42"/>
      <c r="C153" s="70"/>
      <c r="D153" s="70"/>
      <c r="E153" s="70"/>
      <c r="F153" s="53"/>
      <c r="G153" s="41"/>
      <c r="H153" s="51"/>
    </row>
    <row r="154" spans="1:8" ht="12.75">
      <c r="A154" s="10"/>
      <c r="B154" s="68" t="s">
        <v>1330</v>
      </c>
      <c r="C154" s="11"/>
      <c r="D154" s="11"/>
      <c r="E154" s="11"/>
      <c r="F154" s="64"/>
      <c r="G154" s="27"/>
      <c r="H154" s="27"/>
    </row>
    <row r="155" spans="1:8" ht="12.75">
      <c r="A155" s="10"/>
      <c r="B155" s="38" t="s">
        <v>1326</v>
      </c>
      <c r="C155" s="11"/>
      <c r="D155" s="11"/>
      <c r="E155" s="11"/>
      <c r="F155" s="23">
        <v>41228816</v>
      </c>
      <c r="G155" s="27"/>
      <c r="H155" s="23">
        <v>41228816</v>
      </c>
    </row>
    <row r="156" spans="1:8" ht="12.75">
      <c r="A156" s="10"/>
      <c r="B156" s="38" t="s">
        <v>1327</v>
      </c>
      <c r="C156" s="11"/>
      <c r="D156" s="11"/>
      <c r="E156" s="11"/>
      <c r="F156" s="23">
        <v>7090416</v>
      </c>
      <c r="G156" s="27"/>
      <c r="H156" s="23">
        <v>7090416</v>
      </c>
    </row>
    <row r="157" spans="1:8" ht="12.75">
      <c r="A157" s="10"/>
      <c r="B157" s="38" t="s">
        <v>1328</v>
      </c>
      <c r="C157" s="11"/>
      <c r="D157" s="11"/>
      <c r="E157" s="11"/>
      <c r="F157" s="23">
        <v>7001094</v>
      </c>
      <c r="G157" s="27"/>
      <c r="H157" s="23">
        <v>7001094</v>
      </c>
    </row>
    <row r="158" spans="1:8" ht="13.5" thickBot="1">
      <c r="A158" s="10"/>
      <c r="B158" s="38" t="s">
        <v>1329</v>
      </c>
      <c r="C158" s="11"/>
      <c r="D158" s="11"/>
      <c r="E158" s="11"/>
      <c r="F158" s="26">
        <v>216873878</v>
      </c>
      <c r="G158" s="27"/>
      <c r="H158" s="26">
        <v>216873878</v>
      </c>
    </row>
    <row r="159" spans="1:8" ht="13.5" thickBot="1">
      <c r="A159" s="10"/>
      <c r="B159" s="42" t="s">
        <v>1178</v>
      </c>
      <c r="C159" s="70"/>
      <c r="D159" s="70"/>
      <c r="E159" s="70"/>
      <c r="F159" s="32">
        <v>272194204</v>
      </c>
      <c r="G159" s="41"/>
      <c r="H159" s="32">
        <v>272194204</v>
      </c>
    </row>
    <row r="160" spans="1:8" ht="13.5" thickTop="1">
      <c r="A160" s="10"/>
      <c r="B160" s="42"/>
      <c r="C160" s="70"/>
      <c r="D160" s="71"/>
      <c r="E160" s="70"/>
      <c r="F160" s="70"/>
      <c r="G160" s="10"/>
      <c r="H160" s="12"/>
    </row>
    <row r="161" spans="1:8" ht="12.75">
      <c r="A161" s="10"/>
      <c r="B161" s="42"/>
      <c r="C161" s="70"/>
      <c r="D161" s="71"/>
      <c r="E161" s="70"/>
      <c r="F161" s="70"/>
      <c r="G161" s="10"/>
      <c r="H161" s="12"/>
    </row>
    <row r="162" spans="1:8" ht="12.75">
      <c r="A162" s="10"/>
      <c r="B162" s="68" t="s">
        <v>1355</v>
      </c>
      <c r="C162" s="11"/>
      <c r="D162" s="11"/>
      <c r="E162" s="11"/>
      <c r="F162" s="64"/>
      <c r="G162" s="27"/>
      <c r="H162" s="27"/>
    </row>
    <row r="163" spans="1:8" ht="12.75">
      <c r="A163" s="10"/>
      <c r="B163" s="38" t="s">
        <v>1326</v>
      </c>
      <c r="C163" s="11"/>
      <c r="D163" s="11"/>
      <c r="E163" s="11"/>
      <c r="F163" s="23">
        <v>4027993</v>
      </c>
      <c r="G163" s="27"/>
      <c r="H163" s="23">
        <v>4027993</v>
      </c>
    </row>
    <row r="164" spans="1:8" ht="12.75">
      <c r="A164" s="10"/>
      <c r="B164" s="38" t="s">
        <v>1327</v>
      </c>
      <c r="C164" s="11"/>
      <c r="D164" s="11"/>
      <c r="E164" s="11"/>
      <c r="F164" s="23">
        <v>2055778</v>
      </c>
      <c r="G164" s="27"/>
      <c r="H164" s="23">
        <v>2055778</v>
      </c>
    </row>
    <row r="165" spans="1:8" ht="12.75">
      <c r="A165" s="10"/>
      <c r="B165" s="38" t="s">
        <v>1328</v>
      </c>
      <c r="C165" s="11"/>
      <c r="D165" s="11"/>
      <c r="E165" s="11"/>
      <c r="F165" s="23">
        <v>1230759</v>
      </c>
      <c r="G165" s="27"/>
      <c r="H165" s="23">
        <v>1230759</v>
      </c>
    </row>
    <row r="166" spans="1:8" ht="13.5" thickBot="1">
      <c r="A166" s="10"/>
      <c r="B166" s="38" t="s">
        <v>1329</v>
      </c>
      <c r="C166" s="11"/>
      <c r="D166" s="11"/>
      <c r="E166" s="11"/>
      <c r="F166" s="26">
        <v>32977807</v>
      </c>
      <c r="G166" s="27"/>
      <c r="H166" s="26">
        <v>32977807</v>
      </c>
    </row>
    <row r="167" spans="1:8" ht="13.5" thickBot="1">
      <c r="A167" s="10"/>
      <c r="B167" s="42" t="s">
        <v>1178</v>
      </c>
      <c r="C167" s="70"/>
      <c r="D167" s="70"/>
      <c r="E167" s="70"/>
      <c r="F167" s="32">
        <v>40292337</v>
      </c>
      <c r="G167" s="41"/>
      <c r="H167" s="32">
        <v>40292337</v>
      </c>
    </row>
    <row r="168" spans="1:8" ht="13.5" thickTop="1">
      <c r="A168" s="10"/>
      <c r="B168" s="42"/>
      <c r="C168" s="70"/>
      <c r="D168" s="71"/>
      <c r="E168" s="70"/>
      <c r="F168" s="70"/>
      <c r="G168" s="10"/>
      <c r="H168" s="12"/>
    </row>
    <row r="169" spans="1:8" ht="12.75">
      <c r="A169" s="10"/>
      <c r="B169" s="42"/>
      <c r="C169" s="70"/>
      <c r="D169" s="70"/>
      <c r="E169" s="70"/>
      <c r="F169" s="12"/>
      <c r="G169" s="10"/>
      <c r="H169" s="12"/>
    </row>
    <row r="170" spans="1:8" ht="12.75">
      <c r="A170" s="10"/>
      <c r="B170" s="54" t="s">
        <v>1356</v>
      </c>
      <c r="C170" s="70"/>
      <c r="D170" s="70"/>
      <c r="E170" s="70"/>
      <c r="F170" s="12"/>
      <c r="G170" s="10"/>
      <c r="H170" s="12"/>
    </row>
    <row r="171" spans="1:8" ht="12.75">
      <c r="A171" s="10"/>
      <c r="B171" s="38" t="s">
        <v>1357</v>
      </c>
      <c r="C171" s="70"/>
      <c r="D171" s="70"/>
      <c r="E171" s="70"/>
      <c r="F171" s="23">
        <v>236413603</v>
      </c>
      <c r="G171" s="41"/>
      <c r="H171" s="23">
        <v>236413603</v>
      </c>
    </row>
    <row r="172" spans="1:8" ht="12.75">
      <c r="A172" s="10"/>
      <c r="B172" s="38" t="s">
        <v>1201</v>
      </c>
      <c r="C172" s="70"/>
      <c r="D172" s="70"/>
      <c r="E172" s="70"/>
      <c r="F172" s="23">
        <v>65393095</v>
      </c>
      <c r="G172" s="41"/>
      <c r="H172" s="23">
        <v>65393095</v>
      </c>
    </row>
    <row r="173" spans="1:8" ht="12.75">
      <c r="A173" s="10"/>
      <c r="B173" s="38" t="s">
        <v>1358</v>
      </c>
      <c r="C173" s="70"/>
      <c r="D173" s="70"/>
      <c r="E173" s="70"/>
      <c r="F173" s="23">
        <v>0</v>
      </c>
      <c r="G173" s="41"/>
      <c r="H173" s="23">
        <v>0</v>
      </c>
    </row>
    <row r="174" spans="1:8" ht="13.5" thickBot="1">
      <c r="A174" s="10"/>
      <c r="B174" s="38" t="s">
        <v>1202</v>
      </c>
      <c r="C174" s="70"/>
      <c r="D174" s="70"/>
      <c r="E174" s="70"/>
      <c r="F174" s="72">
        <v>301806698</v>
      </c>
      <c r="G174" s="41"/>
      <c r="H174" s="72">
        <v>301806698</v>
      </c>
    </row>
    <row r="175" spans="1:8" ht="13.5" thickTop="1">
      <c r="A175" s="10"/>
      <c r="B175" s="38"/>
      <c r="C175" s="70"/>
      <c r="D175" s="70"/>
      <c r="E175" s="70"/>
      <c r="F175" s="57"/>
      <c r="G175" s="41"/>
      <c r="H175" s="57"/>
    </row>
    <row r="176" spans="1:8" ht="12.75">
      <c r="A176" s="10"/>
      <c r="B176" s="42"/>
      <c r="C176" s="70"/>
      <c r="D176" s="70"/>
      <c r="E176" s="70"/>
      <c r="F176" s="53"/>
      <c r="G176" s="41"/>
      <c r="H176" s="51"/>
    </row>
    <row r="177" spans="1:8" ht="12.75">
      <c r="A177" s="10">
        <v>13</v>
      </c>
      <c r="B177" s="42" t="s">
        <v>1359</v>
      </c>
      <c r="C177" s="11"/>
      <c r="D177" s="11"/>
      <c r="E177" s="11"/>
      <c r="F177" s="64"/>
      <c r="G177" s="27"/>
      <c r="H177" s="51"/>
    </row>
    <row r="178" spans="1:8" ht="12.75">
      <c r="A178" s="8"/>
      <c r="B178" s="38"/>
      <c r="C178" s="11"/>
      <c r="D178" s="11"/>
      <c r="E178" s="11"/>
      <c r="F178" s="64"/>
      <c r="G178" s="27"/>
      <c r="H178" s="27"/>
    </row>
    <row r="179" spans="1:8" ht="12.75">
      <c r="A179" s="8"/>
      <c r="B179" s="38" t="s">
        <v>1360</v>
      </c>
      <c r="C179" s="11"/>
      <c r="D179" s="11"/>
      <c r="E179" s="11"/>
      <c r="F179" s="23">
        <v>377539</v>
      </c>
      <c r="G179" s="27"/>
      <c r="H179" s="23">
        <v>377539</v>
      </c>
    </row>
    <row r="180" spans="1:8" ht="12.75">
      <c r="A180" s="8"/>
      <c r="B180" s="38" t="s">
        <v>1361</v>
      </c>
      <c r="C180" s="11"/>
      <c r="D180" s="11"/>
      <c r="E180" s="11"/>
      <c r="F180" s="23">
        <v>2823795</v>
      </c>
      <c r="G180" s="27"/>
      <c r="H180" s="23">
        <v>2823795</v>
      </c>
    </row>
    <row r="181" spans="1:8" ht="12.75">
      <c r="A181" s="8"/>
      <c r="B181" s="38" t="s">
        <v>1362</v>
      </c>
      <c r="C181" s="11"/>
      <c r="D181" s="11"/>
      <c r="E181" s="11"/>
      <c r="F181" s="23">
        <v>6093</v>
      </c>
      <c r="G181" s="27"/>
      <c r="H181" s="23">
        <v>6093</v>
      </c>
    </row>
    <row r="182" spans="1:8" ht="12.75">
      <c r="A182" s="8"/>
      <c r="B182" s="38" t="s">
        <v>1363</v>
      </c>
      <c r="C182" s="11"/>
      <c r="D182" s="11"/>
      <c r="E182" s="11"/>
      <c r="F182" s="23">
        <v>2113201</v>
      </c>
      <c r="G182" s="27"/>
      <c r="H182" s="23">
        <v>2113201</v>
      </c>
    </row>
    <row r="183" spans="1:8" ht="12.75">
      <c r="A183" s="8"/>
      <c r="B183" s="38" t="s">
        <v>1364</v>
      </c>
      <c r="C183" s="11"/>
      <c r="D183" s="11"/>
      <c r="E183" s="11"/>
      <c r="F183" s="23">
        <v>4821009</v>
      </c>
      <c r="G183" s="27"/>
      <c r="H183" s="23">
        <v>4821009</v>
      </c>
    </row>
    <row r="184" spans="1:8" ht="13.5" thickBot="1">
      <c r="A184" s="8"/>
      <c r="B184" s="38" t="s">
        <v>1365</v>
      </c>
      <c r="C184" s="11"/>
      <c r="D184" s="11"/>
      <c r="E184" s="11"/>
      <c r="F184" s="26">
        <v>125877</v>
      </c>
      <c r="G184" s="27"/>
      <c r="H184" s="26">
        <v>125877</v>
      </c>
    </row>
    <row r="185" spans="1:8" ht="13.5" thickBot="1">
      <c r="A185" s="10"/>
      <c r="B185" s="42" t="s">
        <v>1366</v>
      </c>
      <c r="C185" s="70"/>
      <c r="D185" s="70"/>
      <c r="E185" s="70"/>
      <c r="F185" s="32">
        <v>10267514</v>
      </c>
      <c r="G185" s="41"/>
      <c r="H185" s="32">
        <v>10267514</v>
      </c>
    </row>
    <row r="186" spans="1:8" ht="13.5" thickTop="1">
      <c r="A186" s="10"/>
      <c r="B186" s="42"/>
      <c r="C186" s="70"/>
      <c r="D186" s="70"/>
      <c r="E186" s="70"/>
      <c r="F186" s="51"/>
      <c r="G186" s="41"/>
      <c r="H186" s="51"/>
    </row>
    <row r="187" spans="1:8" ht="12.75">
      <c r="A187" s="10"/>
      <c r="B187" s="42"/>
      <c r="C187" s="11"/>
      <c r="D187" s="11"/>
      <c r="E187" s="11"/>
      <c r="F187" s="11"/>
      <c r="G187" s="8"/>
      <c r="H187" s="8"/>
    </row>
    <row r="188" spans="1:8" ht="12.75">
      <c r="A188" s="10">
        <v>14</v>
      </c>
      <c r="B188" s="42" t="s">
        <v>1367</v>
      </c>
      <c r="C188" s="11"/>
      <c r="D188" s="11"/>
      <c r="E188" s="11"/>
      <c r="F188" s="11"/>
      <c r="G188" s="8"/>
      <c r="H188" s="8"/>
    </row>
    <row r="189" spans="1:8" ht="12.75">
      <c r="A189" s="8"/>
      <c r="B189" s="1269" t="s">
        <v>1368</v>
      </c>
      <c r="C189" s="1292"/>
      <c r="D189" s="1292"/>
      <c r="E189" s="11"/>
      <c r="F189" s="11"/>
      <c r="G189" s="8"/>
      <c r="H189" s="8"/>
    </row>
    <row r="190" spans="1:8" ht="12.75">
      <c r="A190" s="8"/>
      <c r="B190" s="38"/>
      <c r="C190" s="11"/>
      <c r="D190" s="11"/>
      <c r="E190" s="11"/>
      <c r="F190" s="11"/>
      <c r="G190" s="8"/>
      <c r="H190" s="8"/>
    </row>
    <row r="191" spans="1:8" ht="12.75">
      <c r="A191" s="8"/>
      <c r="B191" s="38"/>
      <c r="C191" s="11"/>
      <c r="D191" s="11"/>
      <c r="E191" s="11"/>
      <c r="F191" s="11"/>
      <c r="G191" s="8"/>
      <c r="H191" s="8"/>
    </row>
    <row r="192" spans="1:8" ht="12.75">
      <c r="A192" s="10"/>
      <c r="B192" s="1268" t="s">
        <v>1369</v>
      </c>
      <c r="C192" s="1268"/>
      <c r="D192" s="1268"/>
      <c r="E192" s="70"/>
      <c r="F192" s="70"/>
      <c r="G192" s="10"/>
      <c r="H192" s="10"/>
    </row>
    <row r="193" spans="1:8" ht="12.75">
      <c r="A193" s="10"/>
      <c r="B193" s="73"/>
      <c r="C193" s="73"/>
      <c r="D193" s="73"/>
      <c r="E193" s="70"/>
      <c r="F193" s="70"/>
      <c r="G193" s="10"/>
      <c r="H193" s="10"/>
    </row>
    <row r="194" spans="1:8" ht="12.75">
      <c r="A194" s="10"/>
      <c r="B194" s="1268" t="s">
        <v>1370</v>
      </c>
      <c r="C194" s="1268"/>
      <c r="D194" s="1268"/>
      <c r="E194" s="70"/>
      <c r="F194" s="70"/>
      <c r="G194" s="10"/>
      <c r="H194" s="10"/>
    </row>
    <row r="195" spans="1:8" ht="12.75">
      <c r="A195" s="10"/>
      <c r="B195" s="73"/>
      <c r="C195" s="73"/>
      <c r="D195" s="73"/>
      <c r="E195" s="70"/>
      <c r="F195" s="70"/>
      <c r="G195" s="10"/>
      <c r="H195" s="10"/>
    </row>
    <row r="196" spans="1:8" ht="12.75">
      <c r="A196" s="10"/>
      <c r="B196" s="1268" t="s">
        <v>1371</v>
      </c>
      <c r="C196" s="1268"/>
      <c r="D196" s="1268"/>
      <c r="E196" s="70"/>
      <c r="F196" s="70"/>
      <c r="G196" s="10"/>
      <c r="H196" s="10"/>
    </row>
    <row r="197" spans="1:8" ht="12.75">
      <c r="A197" s="10"/>
      <c r="B197" s="73"/>
      <c r="C197" s="73"/>
      <c r="D197" s="73"/>
      <c r="E197" s="70"/>
      <c r="F197" s="70"/>
      <c r="G197" s="10"/>
      <c r="H197" s="10"/>
    </row>
    <row r="198" spans="1:8" ht="12.75">
      <c r="A198" s="10"/>
      <c r="B198" s="1268" t="s">
        <v>1372</v>
      </c>
      <c r="C198" s="1268"/>
      <c r="D198" s="1268"/>
      <c r="E198" s="70"/>
      <c r="F198" s="70"/>
      <c r="G198" s="10"/>
      <c r="H198" s="10"/>
    </row>
    <row r="199" spans="1:8" ht="12.75">
      <c r="A199" s="10"/>
      <c r="B199" s="73"/>
      <c r="C199" s="73"/>
      <c r="D199" s="73"/>
      <c r="E199" s="70"/>
      <c r="F199" s="70"/>
      <c r="G199" s="10"/>
      <c r="H199" s="10"/>
    </row>
    <row r="200" spans="1:8" ht="12.75">
      <c r="A200" s="10"/>
      <c r="B200" s="1268" t="s">
        <v>1373</v>
      </c>
      <c r="C200" s="1268"/>
      <c r="D200" s="1268"/>
      <c r="E200" s="70"/>
      <c r="F200" s="70"/>
      <c r="G200" s="10"/>
      <c r="H200" s="10"/>
    </row>
    <row r="201" spans="1:8" ht="12.75">
      <c r="A201" s="10"/>
      <c r="B201" s="73"/>
      <c r="C201" s="73"/>
      <c r="D201" s="73"/>
      <c r="E201" s="70"/>
      <c r="F201" s="70"/>
      <c r="G201" s="10"/>
      <c r="H201" s="10"/>
    </row>
    <row r="202" spans="1:8" ht="12.75">
      <c r="A202" s="10"/>
      <c r="B202" s="1268" t="s">
        <v>1374</v>
      </c>
      <c r="C202" s="1268"/>
      <c r="D202" s="1268"/>
      <c r="E202" s="70"/>
      <c r="F202" s="70"/>
      <c r="G202" s="10"/>
      <c r="H202" s="10"/>
    </row>
    <row r="203" spans="1:8" ht="12.75">
      <c r="A203" s="10"/>
      <c r="B203" s="73"/>
      <c r="C203" s="73"/>
      <c r="D203" s="73"/>
      <c r="E203" s="70"/>
      <c r="F203" s="70"/>
      <c r="G203" s="10"/>
      <c r="H203" s="10"/>
    </row>
    <row r="204" spans="1:8" ht="12.75">
      <c r="A204" s="10"/>
      <c r="B204" s="1268" t="s">
        <v>1375</v>
      </c>
      <c r="C204" s="1268"/>
      <c r="D204" s="1268"/>
      <c r="E204" s="70"/>
      <c r="F204" s="70"/>
      <c r="G204" s="10"/>
      <c r="H204" s="10"/>
    </row>
    <row r="205" spans="1:8" ht="12.75">
      <c r="A205" s="10"/>
      <c r="B205" s="73"/>
      <c r="C205" s="73"/>
      <c r="D205" s="73"/>
      <c r="E205" s="70"/>
      <c r="F205" s="70"/>
      <c r="G205" s="10"/>
      <c r="H205" s="10"/>
    </row>
    <row r="206" spans="1:8" ht="22.5">
      <c r="A206" s="10"/>
      <c r="B206" s="73" t="s">
        <v>1376</v>
      </c>
      <c r="C206" s="73"/>
      <c r="D206" s="73"/>
      <c r="E206" s="70"/>
      <c r="F206" s="70"/>
      <c r="G206" s="10"/>
      <c r="H206" s="10"/>
    </row>
    <row r="207" spans="1:8" ht="12.75">
      <c r="A207" s="8"/>
      <c r="B207" s="38"/>
      <c r="C207" s="70"/>
      <c r="D207" s="70"/>
      <c r="E207" s="11"/>
      <c r="F207" s="11"/>
      <c r="G207" s="8"/>
      <c r="H207" s="8"/>
    </row>
    <row r="208" spans="1:8" ht="13.5" thickBot="1">
      <c r="A208" s="8"/>
      <c r="B208" s="1264" t="s">
        <v>1377</v>
      </c>
      <c r="C208" s="1264"/>
      <c r="D208" s="1264"/>
      <c r="E208" s="11"/>
      <c r="F208" s="74">
        <v>-20177536.19</v>
      </c>
      <c r="G208" s="75"/>
      <c r="H208" s="74">
        <v>-20177536.19</v>
      </c>
    </row>
    <row r="209" spans="1:8" ht="13.5" thickBot="1">
      <c r="A209" s="13"/>
      <c r="B209" s="1295" t="s">
        <v>1378</v>
      </c>
      <c r="C209" s="1295"/>
      <c r="D209" s="1295"/>
      <c r="E209" s="76"/>
      <c r="F209" s="77">
        <v>-21181781.98</v>
      </c>
      <c r="G209" s="78"/>
      <c r="H209" s="77">
        <v>-21181781.98</v>
      </c>
    </row>
    <row r="210" spans="1:8" ht="13.5" thickTop="1">
      <c r="A210" s="8"/>
      <c r="B210" s="38"/>
      <c r="C210" s="11"/>
      <c r="D210" s="11"/>
      <c r="E210" s="11"/>
      <c r="F210" s="75"/>
      <c r="G210" s="67"/>
      <c r="H210" s="75"/>
    </row>
    <row r="211" spans="1:8" ht="13.5" thickBot="1">
      <c r="A211" s="8"/>
      <c r="B211" s="1264" t="s">
        <v>1379</v>
      </c>
      <c r="C211" s="1264"/>
      <c r="D211" s="1264"/>
      <c r="E211" s="11"/>
      <c r="F211" s="74">
        <v>402040.15</v>
      </c>
      <c r="G211" s="75"/>
      <c r="H211" s="74">
        <v>402040.15</v>
      </c>
    </row>
    <row r="212" spans="1:8" ht="13.5" thickBot="1">
      <c r="A212" s="8"/>
      <c r="B212" s="1264" t="s">
        <v>1380</v>
      </c>
      <c r="C212" s="1264"/>
      <c r="D212" s="1264"/>
      <c r="E212" s="11"/>
      <c r="F212" s="79">
        <v>6381597.2</v>
      </c>
      <c r="G212" s="67"/>
      <c r="H212" s="79">
        <v>6381597.2</v>
      </c>
    </row>
    <row r="213" spans="1:8" ht="13.5" thickTop="1">
      <c r="A213" s="8"/>
      <c r="B213" s="38"/>
      <c r="C213" s="38"/>
      <c r="D213" s="38"/>
      <c r="E213" s="11"/>
      <c r="F213" s="80"/>
      <c r="G213" s="67"/>
      <c r="H213" s="80"/>
    </row>
    <row r="214" spans="1:8" ht="12.75">
      <c r="A214" s="14"/>
      <c r="B214" s="81"/>
      <c r="C214" s="14"/>
      <c r="D214" s="14"/>
      <c r="E214" s="14"/>
      <c r="F214" s="82"/>
      <c r="G214" s="82"/>
      <c r="H214" s="82"/>
    </row>
    <row r="215" spans="1:8" ht="12.75">
      <c r="A215" s="14"/>
      <c r="B215" s="1264" t="s">
        <v>1381</v>
      </c>
      <c r="C215" s="1264"/>
      <c r="D215" s="1264"/>
      <c r="E215" s="1264"/>
      <c r="F215" s="1264"/>
      <c r="G215" s="1264"/>
      <c r="H215" s="1264"/>
    </row>
    <row r="216" spans="1:8" ht="12.75">
      <c r="A216" s="14"/>
      <c r="B216" s="38"/>
      <c r="C216" s="38"/>
      <c r="D216" s="38"/>
      <c r="E216" s="38"/>
      <c r="F216" s="38"/>
      <c r="G216" s="38"/>
      <c r="H216" s="38"/>
    </row>
    <row r="217" spans="1:8" ht="12.75">
      <c r="A217" s="14"/>
      <c r="B217" s="38"/>
      <c r="C217" s="38"/>
      <c r="D217" s="38"/>
      <c r="E217" s="38"/>
      <c r="F217" s="38"/>
      <c r="G217" s="38"/>
      <c r="H217" s="38"/>
    </row>
    <row r="218" spans="1:8" ht="12.75">
      <c r="A218" s="14"/>
      <c r="B218" s="81"/>
      <c r="C218" s="14"/>
      <c r="D218" s="14"/>
      <c r="E218" s="14"/>
      <c r="F218" s="82"/>
      <c r="G218" s="82"/>
      <c r="H218" s="82"/>
    </row>
    <row r="219" spans="1:8" ht="12.75">
      <c r="A219" s="1293" t="s">
        <v>1382</v>
      </c>
      <c r="B219" s="1293"/>
      <c r="C219" s="1293"/>
      <c r="D219" s="1293"/>
      <c r="E219" s="1293"/>
      <c r="F219" s="1293"/>
      <c r="G219" s="1293"/>
      <c r="H219" s="1293"/>
    </row>
    <row r="220" spans="1:8" ht="12.75">
      <c r="A220" s="10">
        <v>15</v>
      </c>
      <c r="B220" s="42" t="s">
        <v>1383</v>
      </c>
      <c r="C220" s="10"/>
      <c r="D220" s="10"/>
      <c r="E220" s="70"/>
      <c r="F220" s="70"/>
      <c r="G220" s="70"/>
      <c r="H220" s="70"/>
    </row>
    <row r="221" spans="1:8" ht="12.75">
      <c r="A221" s="8"/>
      <c r="B221" s="38"/>
      <c r="C221" s="8"/>
      <c r="D221" s="8"/>
      <c r="E221" s="11"/>
      <c r="F221" s="11"/>
      <c r="G221" s="11"/>
      <c r="H221" s="11"/>
    </row>
    <row r="222" spans="1:8" ht="12.75">
      <c r="A222" s="8"/>
      <c r="B222" s="68" t="s">
        <v>1181</v>
      </c>
      <c r="C222" s="8"/>
      <c r="D222" s="8"/>
      <c r="E222" s="11"/>
      <c r="F222" s="11"/>
      <c r="G222" s="11"/>
      <c r="H222" s="11"/>
    </row>
    <row r="223" spans="1:8" ht="12.75">
      <c r="A223" s="8"/>
      <c r="B223" s="38" t="s">
        <v>1384</v>
      </c>
      <c r="C223" s="8"/>
      <c r="D223" s="8"/>
      <c r="E223" s="11"/>
      <c r="F223" s="64">
        <v>58825520</v>
      </c>
      <c r="G223" s="1"/>
      <c r="H223" s="64">
        <v>58825520</v>
      </c>
    </row>
    <row r="224" spans="1:8" ht="12.75">
      <c r="A224" s="8"/>
      <c r="B224" s="38" t="s">
        <v>1385</v>
      </c>
      <c r="C224" s="8"/>
      <c r="D224" s="8"/>
      <c r="E224" s="11"/>
      <c r="F224" s="64">
        <v>12866920</v>
      </c>
      <c r="G224" s="1"/>
      <c r="H224" s="64">
        <v>12866920</v>
      </c>
    </row>
    <row r="225" spans="1:8" ht="12.75">
      <c r="A225" s="8"/>
      <c r="B225" s="38" t="s">
        <v>1386</v>
      </c>
      <c r="C225" s="8"/>
      <c r="D225" s="8"/>
      <c r="E225" s="11"/>
      <c r="F225" s="64">
        <v>30551991</v>
      </c>
      <c r="G225" s="1"/>
      <c r="H225" s="64">
        <v>30551991</v>
      </c>
    </row>
    <row r="226" spans="1:8" ht="13.5" thickBot="1">
      <c r="A226" s="8"/>
      <c r="B226" s="38" t="s">
        <v>1387</v>
      </c>
      <c r="C226" s="8"/>
      <c r="D226" s="8"/>
      <c r="E226" s="11"/>
      <c r="F226" s="83">
        <v>3134781</v>
      </c>
      <c r="G226" s="1"/>
      <c r="H226" s="83">
        <v>3134781</v>
      </c>
    </row>
    <row r="227" spans="1:8" ht="13.5" thickBot="1">
      <c r="A227" s="8"/>
      <c r="B227" s="42" t="s">
        <v>1388</v>
      </c>
      <c r="C227" s="8"/>
      <c r="D227" s="8"/>
      <c r="E227" s="11"/>
      <c r="F227" s="84">
        <v>105379212</v>
      </c>
      <c r="G227" s="1"/>
      <c r="H227" s="84">
        <v>105379212</v>
      </c>
    </row>
    <row r="228" spans="1:8" ht="13.5" thickTop="1">
      <c r="A228" s="8"/>
      <c r="B228" s="38"/>
      <c r="C228" s="8"/>
      <c r="D228" s="8"/>
      <c r="E228" s="11"/>
      <c r="F228" s="85"/>
      <c r="G228" s="1"/>
      <c r="H228" s="85"/>
    </row>
    <row r="229" spans="1:8" ht="12.75">
      <c r="A229" s="8"/>
      <c r="B229" s="68" t="s">
        <v>1389</v>
      </c>
      <c r="C229" s="8"/>
      <c r="D229" s="8"/>
      <c r="E229" s="11"/>
      <c r="F229" s="86" t="s">
        <v>1390</v>
      </c>
      <c r="G229" s="1"/>
      <c r="H229" s="86" t="s">
        <v>1391</v>
      </c>
    </row>
    <row r="230" spans="1:8" ht="12.75">
      <c r="A230" s="8"/>
      <c r="B230" s="50"/>
      <c r="C230" s="8"/>
      <c r="D230" s="8"/>
      <c r="E230" s="11"/>
      <c r="F230" s="86" t="s">
        <v>1392</v>
      </c>
      <c r="G230" s="1"/>
      <c r="H230" s="86" t="s">
        <v>1392</v>
      </c>
    </row>
    <row r="231" spans="1:8" ht="12.75">
      <c r="A231" s="8"/>
      <c r="B231" s="38" t="s">
        <v>1384</v>
      </c>
      <c r="C231" s="8"/>
      <c r="D231" s="8"/>
      <c r="E231" s="11"/>
      <c r="F231" s="64">
        <v>1634164</v>
      </c>
      <c r="G231" s="87"/>
      <c r="H231" s="64">
        <v>1634164</v>
      </c>
    </row>
    <row r="232" spans="1:8" ht="12.75">
      <c r="A232" s="8"/>
      <c r="B232" s="38" t="s">
        <v>1386</v>
      </c>
      <c r="C232" s="8"/>
      <c r="D232" s="8"/>
      <c r="E232" s="11"/>
      <c r="F232" s="64">
        <v>283976</v>
      </c>
      <c r="G232" s="87"/>
      <c r="H232" s="64">
        <v>283976</v>
      </c>
    </row>
    <row r="233" spans="1:8" ht="12.75">
      <c r="A233" s="8"/>
      <c r="B233" s="38" t="s">
        <v>1387</v>
      </c>
      <c r="C233" s="8"/>
      <c r="D233" s="8"/>
      <c r="E233" s="11"/>
      <c r="F233" s="64">
        <v>19440</v>
      </c>
      <c r="G233" s="87"/>
      <c r="H233" s="64">
        <v>19440</v>
      </c>
    </row>
    <row r="234" spans="1:8" ht="13.5" thickBot="1">
      <c r="A234" s="8"/>
      <c r="B234" s="38" t="s">
        <v>1393</v>
      </c>
      <c r="C234" s="8"/>
      <c r="D234" s="8"/>
      <c r="E234" s="11"/>
      <c r="F234" s="88">
        <v>272957</v>
      </c>
      <c r="G234" s="89"/>
      <c r="H234" s="88">
        <v>272957</v>
      </c>
    </row>
    <row r="235" spans="1:8" ht="13.5" thickBot="1">
      <c r="A235" s="8"/>
      <c r="B235" s="42" t="s">
        <v>1394</v>
      </c>
      <c r="C235" s="8"/>
      <c r="D235" s="8"/>
      <c r="E235" s="11"/>
      <c r="F235" s="84">
        <v>2210537</v>
      </c>
      <c r="G235" s="1"/>
      <c r="H235" s="84">
        <v>2210537</v>
      </c>
    </row>
    <row r="236" spans="1:8" ht="13.5" thickTop="1">
      <c r="A236" s="8"/>
      <c r="B236" s="38"/>
      <c r="C236" s="8"/>
      <c r="D236" s="8"/>
      <c r="E236" s="11"/>
      <c r="F236" s="64"/>
      <c r="G236" s="85"/>
      <c r="H236" s="85"/>
    </row>
    <row r="237" spans="1:8" ht="12.75">
      <c r="A237" s="8"/>
      <c r="B237" s="1295" t="s">
        <v>1395</v>
      </c>
      <c r="C237" s="1295"/>
      <c r="D237" s="1295"/>
      <c r="E237" s="1295"/>
      <c r="F237" s="1295"/>
      <c r="G237" s="1295"/>
      <c r="H237" s="1295"/>
    </row>
    <row r="238" spans="1:8" ht="12.75">
      <c r="A238" s="8"/>
      <c r="B238" s="38"/>
      <c r="C238" s="8"/>
      <c r="D238" s="8"/>
      <c r="E238" s="11"/>
      <c r="F238" s="11"/>
      <c r="G238" s="11"/>
      <c r="H238" s="11"/>
    </row>
    <row r="239" spans="1:8" ht="12.75">
      <c r="A239" s="10">
        <v>16</v>
      </c>
      <c r="B239" s="42" t="s">
        <v>1396</v>
      </c>
      <c r="C239" s="8"/>
      <c r="D239" s="8"/>
      <c r="E239" s="11"/>
      <c r="F239" s="11"/>
      <c r="G239" s="11"/>
      <c r="H239" s="11"/>
    </row>
    <row r="240" spans="1:8" ht="12.75">
      <c r="A240" s="8"/>
      <c r="B240" s="38" t="s">
        <v>1397</v>
      </c>
      <c r="C240" s="8"/>
      <c r="D240" s="8"/>
      <c r="E240" s="11"/>
      <c r="F240" s="65">
        <v>204496882</v>
      </c>
      <c r="G240" s="1"/>
      <c r="H240" s="65">
        <v>204496882</v>
      </c>
    </row>
    <row r="241" spans="1:8" ht="12.75">
      <c r="A241" s="8"/>
      <c r="B241" s="38" t="s">
        <v>1398</v>
      </c>
      <c r="C241" s="8"/>
      <c r="D241" s="8"/>
      <c r="E241" s="11"/>
      <c r="F241" s="65">
        <v>95718333</v>
      </c>
      <c r="G241" s="1"/>
      <c r="H241" s="65">
        <v>95718333</v>
      </c>
    </row>
    <row r="242" spans="1:8" ht="12.75">
      <c r="A242" s="8"/>
      <c r="B242" s="38" t="s">
        <v>1399</v>
      </c>
      <c r="C242" s="8"/>
      <c r="D242" s="8"/>
      <c r="E242" s="11"/>
      <c r="F242" s="65">
        <v>41944260</v>
      </c>
      <c r="G242" s="1"/>
      <c r="H242" s="65">
        <v>41944260</v>
      </c>
    </row>
    <row r="243" spans="1:8" ht="12.75">
      <c r="A243" s="8"/>
      <c r="B243" s="38" t="s">
        <v>1400</v>
      </c>
      <c r="C243" s="8"/>
      <c r="D243" s="8"/>
      <c r="E243" s="11"/>
      <c r="F243" s="65">
        <v>36416574</v>
      </c>
      <c r="G243" s="3"/>
      <c r="H243" s="65">
        <v>36416574</v>
      </c>
    </row>
    <row r="244" spans="1:8" ht="13.5" thickBot="1">
      <c r="A244" s="8"/>
      <c r="B244" s="38" t="s">
        <v>1133</v>
      </c>
      <c r="C244" s="8"/>
      <c r="D244" s="8"/>
      <c r="E244" s="11"/>
      <c r="F244" s="65">
        <v>1273054</v>
      </c>
      <c r="G244" s="1"/>
      <c r="H244" s="65">
        <v>1273054</v>
      </c>
    </row>
    <row r="245" spans="1:8" ht="13.5" thickBot="1">
      <c r="A245" s="8"/>
      <c r="B245" s="42" t="s">
        <v>1401</v>
      </c>
      <c r="C245" s="8"/>
      <c r="D245" s="8"/>
      <c r="E245" s="11"/>
      <c r="F245" s="90">
        <v>379849104</v>
      </c>
      <c r="G245" s="1"/>
      <c r="H245" s="90">
        <v>379849104</v>
      </c>
    </row>
    <row r="246" spans="1:8" ht="13.5" thickTop="1">
      <c r="A246" s="14"/>
      <c r="C246" s="14"/>
      <c r="D246" s="14"/>
      <c r="E246" s="14"/>
      <c r="F246" s="91"/>
      <c r="G246" s="91"/>
      <c r="H246" s="91"/>
    </row>
    <row r="247" spans="1:8" ht="12.75">
      <c r="A247" s="10">
        <v>17</v>
      </c>
      <c r="B247" s="42" t="s">
        <v>1402</v>
      </c>
      <c r="C247" s="8"/>
      <c r="D247" s="8"/>
      <c r="E247" s="8"/>
      <c r="F247" s="27"/>
      <c r="G247" s="64"/>
      <c r="H247" s="64"/>
    </row>
    <row r="248" spans="1:8" ht="12.75">
      <c r="A248" s="8"/>
      <c r="B248" s="50"/>
      <c r="C248" s="8"/>
      <c r="D248" s="8"/>
      <c r="E248" s="8"/>
      <c r="F248" s="27"/>
      <c r="G248" s="64"/>
      <c r="H248" s="64"/>
    </row>
    <row r="249" spans="1:8" ht="12.75">
      <c r="A249" s="8"/>
      <c r="B249" s="92" t="s">
        <v>1403</v>
      </c>
      <c r="C249" s="8"/>
      <c r="D249" s="8"/>
      <c r="E249" s="8"/>
      <c r="F249" s="93">
        <v>31940946</v>
      </c>
      <c r="G249" s="64"/>
      <c r="H249" s="93">
        <v>31940946</v>
      </c>
    </row>
    <row r="250" spans="1:8" ht="12.75">
      <c r="A250" s="8"/>
      <c r="B250" s="92" t="s">
        <v>1215</v>
      </c>
      <c r="C250" s="8"/>
      <c r="D250" s="8"/>
      <c r="E250" s="8"/>
      <c r="F250" s="93">
        <v>26461108</v>
      </c>
      <c r="G250" s="64"/>
      <c r="H250" s="93">
        <v>26461108</v>
      </c>
    </row>
    <row r="251" spans="1:8" ht="12.75">
      <c r="A251" s="8"/>
      <c r="B251" s="92" t="s">
        <v>1404</v>
      </c>
      <c r="C251" s="8"/>
      <c r="D251" s="8"/>
      <c r="E251" s="8"/>
      <c r="F251" s="93">
        <v>18941520</v>
      </c>
      <c r="G251" s="64"/>
      <c r="H251" s="93">
        <v>18941520</v>
      </c>
    </row>
    <row r="252" spans="1:8" ht="12.75">
      <c r="A252" s="8"/>
      <c r="B252" s="92" t="s">
        <v>1405</v>
      </c>
      <c r="C252" s="8"/>
      <c r="D252" s="8"/>
      <c r="E252" s="8"/>
      <c r="F252" s="93">
        <v>3725885</v>
      </c>
      <c r="G252" s="64"/>
      <c r="H252" s="93">
        <v>3725885</v>
      </c>
    </row>
    <row r="253" spans="1:8" ht="12.75">
      <c r="A253" s="8"/>
      <c r="B253" s="92" t="s">
        <v>1406</v>
      </c>
      <c r="C253" s="8"/>
      <c r="D253" s="8"/>
      <c r="E253" s="8"/>
      <c r="F253" s="93">
        <v>2018370</v>
      </c>
      <c r="G253" s="88"/>
      <c r="H253" s="93">
        <v>2018370</v>
      </c>
    </row>
    <row r="254" spans="1:8" ht="12.75">
      <c r="A254" s="8"/>
      <c r="B254" s="92" t="s">
        <v>1407</v>
      </c>
      <c r="C254" s="8"/>
      <c r="D254" s="8"/>
      <c r="E254" s="8"/>
      <c r="F254" s="93">
        <v>4975137</v>
      </c>
      <c r="G254" s="88"/>
      <c r="H254" s="93">
        <v>4975137</v>
      </c>
    </row>
    <row r="255" spans="1:8" ht="12.75">
      <c r="A255" s="8"/>
      <c r="B255" s="92" t="s">
        <v>1408</v>
      </c>
      <c r="C255" s="8"/>
      <c r="D255" s="8"/>
      <c r="E255" s="8"/>
      <c r="F255" s="93">
        <v>85350</v>
      </c>
      <c r="G255" s="64"/>
      <c r="H255" s="93">
        <v>85350</v>
      </c>
    </row>
    <row r="256" spans="1:8" ht="12.75">
      <c r="A256" s="8"/>
      <c r="B256" s="92" t="s">
        <v>1218</v>
      </c>
      <c r="C256" s="8"/>
      <c r="D256" s="8"/>
      <c r="E256" s="8"/>
      <c r="F256" s="93">
        <v>116876</v>
      </c>
      <c r="G256" s="64"/>
      <c r="H256" s="93">
        <v>116876</v>
      </c>
    </row>
    <row r="257" spans="1:8" ht="13.5" thickBot="1">
      <c r="A257" s="8"/>
      <c r="B257" s="92" t="s">
        <v>1133</v>
      </c>
      <c r="C257" s="8"/>
      <c r="D257" s="8"/>
      <c r="E257" s="8"/>
      <c r="F257" s="94">
        <v>132548</v>
      </c>
      <c r="G257" s="64"/>
      <c r="H257" s="94">
        <v>132548</v>
      </c>
    </row>
    <row r="258" spans="1:8" ht="13.5" thickBot="1">
      <c r="A258" s="8"/>
      <c r="B258" s="42" t="s">
        <v>1409</v>
      </c>
      <c r="C258" s="8"/>
      <c r="D258" s="8"/>
      <c r="E258" s="8"/>
      <c r="F258" s="32">
        <v>88397740</v>
      </c>
      <c r="G258" s="64"/>
      <c r="H258" s="32">
        <v>88397740</v>
      </c>
    </row>
    <row r="259" spans="1:8" ht="13.5" thickTop="1">
      <c r="A259" s="8"/>
      <c r="B259" s="38"/>
      <c r="C259" s="8"/>
      <c r="D259" s="8"/>
      <c r="E259" s="8"/>
      <c r="F259" s="8"/>
      <c r="G259" s="11"/>
      <c r="H259" s="11"/>
    </row>
    <row r="260" spans="1:8" ht="12.75">
      <c r="A260" s="8"/>
      <c r="B260" s="50" t="s">
        <v>1410</v>
      </c>
      <c r="C260" s="8"/>
      <c r="D260" s="8"/>
      <c r="E260" s="8"/>
      <c r="F260" s="8"/>
      <c r="G260" s="11"/>
      <c r="H260" s="11"/>
    </row>
    <row r="261" spans="1:8" ht="12.75">
      <c r="A261" s="8"/>
      <c r="B261" s="1264" t="s">
        <v>1411</v>
      </c>
      <c r="C261" s="1264"/>
      <c r="D261" s="1264"/>
      <c r="E261" s="1264"/>
      <c r="F261" s="1264"/>
      <c r="G261" s="1264"/>
      <c r="H261" s="1264"/>
    </row>
    <row r="262" spans="1:8" ht="12.75">
      <c r="A262" s="8"/>
      <c r="B262" s="1269"/>
      <c r="C262" s="1269"/>
      <c r="D262" s="8"/>
      <c r="E262" s="8"/>
      <c r="F262" s="8"/>
      <c r="G262" s="11"/>
      <c r="H262" s="11"/>
    </row>
    <row r="263" spans="1:8" ht="12.75">
      <c r="A263" s="8"/>
      <c r="B263" s="50" t="s">
        <v>1412</v>
      </c>
      <c r="C263" s="8"/>
      <c r="D263" s="8"/>
      <c r="E263" s="8"/>
      <c r="F263" s="8"/>
      <c r="G263" s="11"/>
      <c r="H263" s="11"/>
    </row>
    <row r="264" spans="1:8" ht="12.75">
      <c r="A264" s="8"/>
      <c r="B264" s="39"/>
      <c r="C264" s="8"/>
      <c r="D264" s="8"/>
      <c r="E264" s="8"/>
      <c r="F264" s="25"/>
      <c r="G264" s="11"/>
      <c r="H264" s="11"/>
    </row>
    <row r="265" spans="1:8" ht="12.75">
      <c r="A265" s="8"/>
      <c r="B265" s="39" t="s">
        <v>1413</v>
      </c>
      <c r="C265" s="8"/>
      <c r="D265" s="8"/>
      <c r="E265" s="8"/>
      <c r="F265" s="25">
        <v>0</v>
      </c>
      <c r="G265" s="11"/>
      <c r="H265" s="25">
        <v>0</v>
      </c>
    </row>
    <row r="266" spans="1:8" ht="22.5">
      <c r="A266" s="8"/>
      <c r="B266" s="39" t="s">
        <v>1414</v>
      </c>
      <c r="C266" s="8"/>
      <c r="D266" s="8"/>
      <c r="E266" s="8"/>
      <c r="F266" s="25">
        <v>4975137</v>
      </c>
      <c r="G266" s="11"/>
      <c r="H266" s="25">
        <v>4975137</v>
      </c>
    </row>
    <row r="267" spans="1:8" ht="13.5" thickBot="1">
      <c r="A267" s="8"/>
      <c r="B267" s="39" t="s">
        <v>1415</v>
      </c>
      <c r="C267" s="8"/>
      <c r="D267" s="8"/>
      <c r="E267" s="8"/>
      <c r="F267" s="24">
        <v>4975137</v>
      </c>
      <c r="G267" s="11"/>
      <c r="H267" s="24">
        <v>4975137</v>
      </c>
    </row>
    <row r="268" spans="1:8" ht="23.25" thickBot="1">
      <c r="A268" s="8"/>
      <c r="B268" s="39" t="s">
        <v>1416</v>
      </c>
      <c r="C268" s="8"/>
      <c r="D268" s="8"/>
      <c r="E268" s="8"/>
      <c r="F268" s="96">
        <v>0</v>
      </c>
      <c r="G268" s="11"/>
      <c r="H268" s="96">
        <v>0</v>
      </c>
    </row>
    <row r="269" spans="1:8" ht="13.5" thickTop="1">
      <c r="A269" s="8"/>
      <c r="B269" s="39"/>
      <c r="C269" s="8"/>
      <c r="D269" s="8"/>
      <c r="E269" s="8"/>
      <c r="F269" s="25"/>
      <c r="G269" s="11"/>
      <c r="H269" s="11"/>
    </row>
    <row r="270" spans="1:8" ht="12.75">
      <c r="A270" s="8"/>
      <c r="B270" s="1264" t="s">
        <v>1417</v>
      </c>
      <c r="C270" s="1264"/>
      <c r="D270" s="1264"/>
      <c r="E270" s="1264"/>
      <c r="F270" s="1264"/>
      <c r="G270" s="1264"/>
      <c r="H270" s="1264"/>
    </row>
    <row r="271" spans="1:8" ht="12.75">
      <c r="A271" s="8"/>
      <c r="B271" s="38"/>
      <c r="C271" s="8"/>
      <c r="D271" s="8"/>
      <c r="E271" s="8"/>
      <c r="F271" s="8"/>
      <c r="G271" s="11"/>
      <c r="H271" s="11"/>
    </row>
    <row r="272" spans="1:8" ht="12.75">
      <c r="A272" s="8"/>
      <c r="B272" s="50" t="s">
        <v>1418</v>
      </c>
      <c r="C272" s="8"/>
      <c r="D272" s="8"/>
      <c r="E272" s="8"/>
      <c r="F272" s="8"/>
      <c r="G272" s="11"/>
      <c r="H272" s="11"/>
    </row>
    <row r="273" spans="1:8" ht="12.75">
      <c r="A273" s="8"/>
      <c r="B273" s="39"/>
      <c r="C273" s="8"/>
      <c r="D273" s="8"/>
      <c r="E273" s="8"/>
      <c r="F273" s="25"/>
      <c r="G273" s="11"/>
      <c r="H273" s="11"/>
    </row>
    <row r="274" spans="1:8" ht="12.75">
      <c r="A274" s="8"/>
      <c r="B274" s="39" t="s">
        <v>1413</v>
      </c>
      <c r="C274" s="8"/>
      <c r="D274" s="8"/>
      <c r="E274" s="8"/>
      <c r="F274" s="23">
        <v>6895540</v>
      </c>
      <c r="G274" s="11"/>
      <c r="H274" s="23">
        <v>6895540</v>
      </c>
    </row>
    <row r="275" spans="1:8" ht="12.75">
      <c r="A275" s="8"/>
      <c r="B275" s="39" t="s">
        <v>1419</v>
      </c>
      <c r="C275" s="8"/>
      <c r="D275" s="8"/>
      <c r="E275" s="8"/>
      <c r="F275" s="23">
        <v>27795998</v>
      </c>
      <c r="G275" s="11"/>
      <c r="H275" s="23">
        <v>27795998</v>
      </c>
    </row>
    <row r="276" spans="1:8" ht="13.5" thickBot="1">
      <c r="A276" s="8"/>
      <c r="B276" s="39" t="s">
        <v>1415</v>
      </c>
      <c r="C276" s="8"/>
      <c r="D276" s="8"/>
      <c r="E276" s="8"/>
      <c r="F276" s="26">
        <v>26461108</v>
      </c>
      <c r="G276" s="11"/>
      <c r="H276" s="26">
        <v>26461108</v>
      </c>
    </row>
    <row r="277" spans="1:8" ht="23.25" thickBot="1">
      <c r="A277" s="8"/>
      <c r="B277" s="39" t="s">
        <v>1416</v>
      </c>
      <c r="C277" s="8"/>
      <c r="D277" s="8"/>
      <c r="E277" s="8"/>
      <c r="F277" s="97">
        <v>8230430</v>
      </c>
      <c r="G277" s="11"/>
      <c r="H277" s="97">
        <v>8230430</v>
      </c>
    </row>
    <row r="278" spans="1:8" ht="13.5" thickTop="1">
      <c r="A278" s="8"/>
      <c r="B278" s="38"/>
      <c r="C278" s="8"/>
      <c r="D278" s="8"/>
      <c r="E278" s="8"/>
      <c r="F278" s="8"/>
      <c r="G278" s="11"/>
      <c r="H278" s="11"/>
    </row>
    <row r="279" spans="1:8" ht="12.75">
      <c r="A279" s="8"/>
      <c r="B279" s="1264" t="s">
        <v>1420</v>
      </c>
      <c r="C279" s="1264"/>
      <c r="D279" s="1264"/>
      <c r="E279" s="1264"/>
      <c r="F279" s="1264"/>
      <c r="G279" s="1264"/>
      <c r="H279" s="1264"/>
    </row>
    <row r="280" spans="1:8" ht="12.75">
      <c r="A280" s="8"/>
      <c r="B280" s="38"/>
      <c r="C280" s="8"/>
      <c r="D280" s="8"/>
      <c r="E280" s="8"/>
      <c r="F280" s="8"/>
      <c r="G280" s="11"/>
      <c r="H280" s="11"/>
    </row>
    <row r="281" spans="1:8" ht="12.75">
      <c r="A281" s="8"/>
      <c r="B281" s="50" t="s">
        <v>1421</v>
      </c>
      <c r="C281" s="8"/>
      <c r="D281" s="8"/>
      <c r="E281" s="8"/>
      <c r="F281" s="8"/>
      <c r="G281" s="11"/>
      <c r="H281" s="11"/>
    </row>
    <row r="282" spans="1:8" ht="12.75">
      <c r="A282" s="8"/>
      <c r="B282" s="39"/>
      <c r="C282" s="8"/>
      <c r="D282" s="8"/>
      <c r="E282" s="8"/>
      <c r="F282" s="25"/>
      <c r="G282" s="11"/>
      <c r="H282" s="11"/>
    </row>
    <row r="283" spans="1:8" ht="12.75">
      <c r="A283" s="8"/>
      <c r="B283" s="39" t="s">
        <v>1413</v>
      </c>
      <c r="C283" s="8"/>
      <c r="D283" s="8"/>
      <c r="E283" s="8"/>
      <c r="F283" s="23">
        <v>9031156</v>
      </c>
      <c r="G283" s="64"/>
      <c r="H283" s="23">
        <v>9031156</v>
      </c>
    </row>
    <row r="284" spans="1:8" ht="12.75">
      <c r="A284" s="8"/>
      <c r="B284" s="39" t="s">
        <v>1419</v>
      </c>
      <c r="C284" s="8"/>
      <c r="D284" s="8"/>
      <c r="E284" s="8"/>
      <c r="F284" s="23">
        <v>9910364</v>
      </c>
      <c r="G284" s="64"/>
      <c r="H284" s="23">
        <v>9910364</v>
      </c>
    </row>
    <row r="285" spans="1:8" ht="13.5" thickBot="1">
      <c r="A285" s="8"/>
      <c r="B285" s="39" t="s">
        <v>1415</v>
      </c>
      <c r="C285" s="8"/>
      <c r="D285" s="8"/>
      <c r="E285" s="8"/>
      <c r="F285" s="26">
        <v>18941520</v>
      </c>
      <c r="G285" s="64"/>
      <c r="H285" s="26">
        <v>18941520</v>
      </c>
    </row>
    <row r="286" spans="1:8" ht="23.25" thickBot="1">
      <c r="A286" s="8"/>
      <c r="B286" s="39" t="s">
        <v>1416</v>
      </c>
      <c r="C286" s="8"/>
      <c r="D286" s="8"/>
      <c r="E286" s="8"/>
      <c r="F286" s="97">
        <v>0</v>
      </c>
      <c r="G286" s="64"/>
      <c r="H286" s="97">
        <v>0</v>
      </c>
    </row>
    <row r="287" spans="1:8" ht="13.5" thickTop="1">
      <c r="A287" s="8"/>
      <c r="B287" s="1269"/>
      <c r="C287" s="1269"/>
      <c r="D287" s="8"/>
      <c r="E287" s="8"/>
      <c r="F287" s="8"/>
      <c r="G287" s="11"/>
      <c r="H287" s="11"/>
    </row>
    <row r="288" spans="1:8" ht="12.75">
      <c r="A288" s="8"/>
      <c r="B288" s="1264" t="s">
        <v>1422</v>
      </c>
      <c r="C288" s="1264"/>
      <c r="D288" s="1264"/>
      <c r="E288" s="1264"/>
      <c r="F288" s="1264"/>
      <c r="G288" s="1264"/>
      <c r="H288" s="1264"/>
    </row>
    <row r="289" spans="1:8" ht="12.75">
      <c r="A289" s="1293" t="s">
        <v>1423</v>
      </c>
      <c r="B289" s="1293"/>
      <c r="C289" s="1293"/>
      <c r="D289" s="1293"/>
      <c r="E289" s="1293"/>
      <c r="F289" s="1293"/>
      <c r="G289" s="1293"/>
      <c r="H289" s="1293"/>
    </row>
    <row r="290" spans="1:8" ht="12.75">
      <c r="A290" s="8"/>
      <c r="B290" s="50" t="s">
        <v>1424</v>
      </c>
      <c r="C290" s="8"/>
      <c r="D290" s="8"/>
      <c r="E290" s="8"/>
      <c r="F290" s="8"/>
      <c r="G290" s="11"/>
      <c r="H290" s="11"/>
    </row>
    <row r="291" spans="1:8" ht="12.75">
      <c r="A291" s="8"/>
      <c r="B291" s="39"/>
      <c r="C291" s="8"/>
      <c r="D291" s="8"/>
      <c r="E291" s="8"/>
      <c r="F291" s="25"/>
      <c r="G291" s="11"/>
      <c r="H291" s="11"/>
    </row>
    <row r="292" spans="1:8" ht="12.75">
      <c r="A292" s="8"/>
      <c r="B292" s="39" t="s">
        <v>1413</v>
      </c>
      <c r="C292" s="8"/>
      <c r="D292" s="8"/>
      <c r="E292" s="8"/>
      <c r="F292" s="23">
        <v>3051590</v>
      </c>
      <c r="G292" s="64"/>
      <c r="H292" s="23">
        <v>3051590</v>
      </c>
    </row>
    <row r="293" spans="1:8" ht="12.75">
      <c r="A293" s="8"/>
      <c r="B293" s="39" t="s">
        <v>1419</v>
      </c>
      <c r="C293" s="8"/>
      <c r="D293" s="8"/>
      <c r="E293" s="8"/>
      <c r="F293" s="65">
        <v>0</v>
      </c>
      <c r="G293" s="64"/>
      <c r="H293" s="65">
        <v>0</v>
      </c>
    </row>
    <row r="294" spans="1:8" ht="13.5" thickBot="1">
      <c r="A294" s="8"/>
      <c r="B294" s="39" t="s">
        <v>1415</v>
      </c>
      <c r="C294" s="8"/>
      <c r="D294" s="8"/>
      <c r="E294" s="8"/>
      <c r="F294" s="26">
        <v>2018370</v>
      </c>
      <c r="G294" s="64"/>
      <c r="H294" s="26">
        <v>2018370</v>
      </c>
    </row>
    <row r="295" spans="1:8" ht="23.25" thickBot="1">
      <c r="A295" s="8"/>
      <c r="B295" s="39" t="s">
        <v>1416</v>
      </c>
      <c r="C295" s="8"/>
      <c r="D295" s="8"/>
      <c r="E295" s="8"/>
      <c r="F295" s="97">
        <v>1033220</v>
      </c>
      <c r="G295" s="64"/>
      <c r="H295" s="97">
        <v>1033220</v>
      </c>
    </row>
    <row r="296" spans="1:8" ht="13.5" thickTop="1">
      <c r="A296" s="8"/>
      <c r="B296" s="1269"/>
      <c r="C296" s="1269"/>
      <c r="D296" s="8"/>
      <c r="E296" s="8"/>
      <c r="F296" s="8"/>
      <c r="G296" s="11"/>
      <c r="H296" s="11"/>
    </row>
    <row r="297" spans="1:8" ht="12.75">
      <c r="A297" s="8"/>
      <c r="B297" s="1264" t="s">
        <v>1425</v>
      </c>
      <c r="C297" s="1264"/>
      <c r="D297" s="1264"/>
      <c r="E297" s="1264"/>
      <c r="F297" s="1264"/>
      <c r="G297" s="1264"/>
      <c r="H297" s="1264"/>
    </row>
    <row r="298" spans="1:8" ht="12.75">
      <c r="A298" s="8"/>
      <c r="B298" s="38"/>
      <c r="C298" s="38"/>
      <c r="D298" s="38"/>
      <c r="E298" s="38"/>
      <c r="F298" s="38"/>
      <c r="G298" s="38"/>
      <c r="H298" s="38"/>
    </row>
    <row r="299" ht="14.25">
      <c r="A299" s="15"/>
    </row>
    <row r="300" spans="1:8" ht="12.75">
      <c r="A300" s="8"/>
      <c r="B300" s="50" t="s">
        <v>1426</v>
      </c>
      <c r="C300" s="8"/>
      <c r="D300" s="8"/>
      <c r="E300" s="8"/>
      <c r="F300" s="8"/>
      <c r="G300" s="11"/>
      <c r="H300" s="11"/>
    </row>
    <row r="301" spans="1:8" ht="12.75">
      <c r="A301" s="8"/>
      <c r="B301" s="39"/>
      <c r="C301" s="8"/>
      <c r="D301" s="8"/>
      <c r="E301" s="8"/>
      <c r="F301" s="25"/>
      <c r="G301" s="11"/>
      <c r="H301" s="11"/>
    </row>
    <row r="302" spans="1:8" ht="12.75">
      <c r="A302" s="8"/>
      <c r="B302" s="39" t="s">
        <v>1413</v>
      </c>
      <c r="C302" s="8"/>
      <c r="D302" s="8"/>
      <c r="E302" s="8"/>
      <c r="F302" s="23">
        <v>2016236</v>
      </c>
      <c r="G302" s="64"/>
      <c r="H302" s="23">
        <v>2016236</v>
      </c>
    </row>
    <row r="303" spans="1:8" ht="12.75">
      <c r="A303" s="8"/>
      <c r="B303" s="39" t="s">
        <v>1419</v>
      </c>
      <c r="C303" s="8"/>
      <c r="D303" s="8"/>
      <c r="E303" s="8"/>
      <c r="F303" s="65">
        <v>7098924</v>
      </c>
      <c r="G303" s="64"/>
      <c r="H303" s="65">
        <v>7098924</v>
      </c>
    </row>
    <row r="304" spans="1:8" ht="13.5" thickBot="1">
      <c r="A304" s="8"/>
      <c r="B304" s="39" t="s">
        <v>1415</v>
      </c>
      <c r="C304" s="8"/>
      <c r="D304" s="8"/>
      <c r="E304" s="8"/>
      <c r="F304" s="26">
        <v>3225884</v>
      </c>
      <c r="G304" s="64"/>
      <c r="H304" s="26">
        <v>3225884</v>
      </c>
    </row>
    <row r="305" spans="1:8" ht="23.25" thickBot="1">
      <c r="A305" s="8"/>
      <c r="B305" s="39" t="s">
        <v>1416</v>
      </c>
      <c r="C305" s="8"/>
      <c r="D305" s="8"/>
      <c r="E305" s="8"/>
      <c r="F305" s="97">
        <v>5889276</v>
      </c>
      <c r="G305" s="64"/>
      <c r="H305" s="97">
        <v>5889276</v>
      </c>
    </row>
    <row r="306" spans="1:8" ht="13.5" thickTop="1">
      <c r="A306" s="8"/>
      <c r="B306" s="1269"/>
      <c r="C306" s="1269"/>
      <c r="D306" s="8"/>
      <c r="E306" s="8"/>
      <c r="F306" s="8"/>
      <c r="G306" s="11"/>
      <c r="H306" s="11"/>
    </row>
    <row r="307" spans="1:8" ht="12.75">
      <c r="A307" s="8"/>
      <c r="B307" s="1264" t="s">
        <v>1427</v>
      </c>
      <c r="C307" s="1264"/>
      <c r="D307" s="1264"/>
      <c r="E307" s="1264"/>
      <c r="F307" s="1264"/>
      <c r="G307" s="1264"/>
      <c r="H307" s="1264"/>
    </row>
    <row r="308" spans="1:8" ht="12.75">
      <c r="A308" s="8"/>
      <c r="B308" s="38"/>
      <c r="C308" s="38"/>
      <c r="D308" s="38"/>
      <c r="E308" s="38"/>
      <c r="F308" s="38"/>
      <c r="G308" s="38"/>
      <c r="H308" s="38"/>
    </row>
    <row r="309" spans="1:8" ht="12.75">
      <c r="A309" s="10">
        <v>18</v>
      </c>
      <c r="B309" s="42" t="s">
        <v>1428</v>
      </c>
      <c r="C309" s="8"/>
      <c r="D309" s="8"/>
      <c r="E309" s="11"/>
      <c r="F309" s="11"/>
      <c r="G309" s="11"/>
      <c r="H309" s="11"/>
    </row>
    <row r="310" spans="1:8" ht="12.75">
      <c r="A310" s="8"/>
      <c r="B310" s="38" t="s">
        <v>1429</v>
      </c>
      <c r="C310" s="8"/>
      <c r="D310" s="8"/>
      <c r="E310" s="11"/>
      <c r="F310" s="64">
        <v>2730243</v>
      </c>
      <c r="G310" s="11"/>
      <c r="H310" s="64">
        <v>2730243</v>
      </c>
    </row>
    <row r="311" spans="1:8" ht="13.5" thickBot="1">
      <c r="A311" s="10"/>
      <c r="B311" s="38"/>
      <c r="C311" s="10"/>
      <c r="D311" s="10"/>
      <c r="E311" s="70"/>
      <c r="F311" s="95"/>
      <c r="G311" s="95"/>
      <c r="H311" s="95"/>
    </row>
    <row r="312" spans="1:8" ht="13.5" thickBot="1">
      <c r="A312" s="10"/>
      <c r="B312" s="42" t="s">
        <v>1430</v>
      </c>
      <c r="C312" s="10"/>
      <c r="D312" s="10"/>
      <c r="E312" s="70"/>
      <c r="F312" s="84">
        <v>2730243</v>
      </c>
      <c r="G312" s="98"/>
      <c r="H312" s="84">
        <v>2730243</v>
      </c>
    </row>
    <row r="313" spans="1:8" ht="13.5" thickTop="1">
      <c r="A313" s="8"/>
      <c r="B313" s="38"/>
      <c r="C313" s="8"/>
      <c r="D313" s="8"/>
      <c r="E313" s="8"/>
      <c r="F313" s="99"/>
      <c r="G313" s="99"/>
      <c r="H313" s="8"/>
    </row>
    <row r="314" spans="1:8" ht="12.75">
      <c r="A314" s="10">
        <v>19</v>
      </c>
      <c r="B314" s="42" t="s">
        <v>1431</v>
      </c>
      <c r="C314" s="8"/>
      <c r="D314" s="8"/>
      <c r="E314" s="8"/>
      <c r="F314" s="11"/>
      <c r="G314" s="11"/>
      <c r="H314" s="11"/>
    </row>
    <row r="315" spans="1:8" ht="12.75">
      <c r="A315" s="8"/>
      <c r="B315" s="38"/>
      <c r="C315" s="8"/>
      <c r="D315" s="8"/>
      <c r="E315" s="8"/>
      <c r="F315" s="11"/>
      <c r="G315" s="11"/>
      <c r="H315" s="11"/>
    </row>
    <row r="316" spans="1:8" ht="12.75">
      <c r="A316" s="8"/>
      <c r="B316" s="38" t="s">
        <v>1432</v>
      </c>
      <c r="C316" s="8"/>
      <c r="D316" s="8"/>
      <c r="E316" s="8"/>
      <c r="F316" s="64">
        <v>120506215</v>
      </c>
      <c r="G316" s="11"/>
      <c r="H316" s="64">
        <v>120506215</v>
      </c>
    </row>
    <row r="317" spans="1:8" ht="22.5">
      <c r="A317" s="8"/>
      <c r="B317" s="38" t="s">
        <v>1433</v>
      </c>
      <c r="C317" s="8"/>
      <c r="D317" s="8"/>
      <c r="E317" s="8"/>
      <c r="F317" s="64">
        <v>34914348</v>
      </c>
      <c r="G317" s="11"/>
      <c r="H317" s="64">
        <v>34914348</v>
      </c>
    </row>
    <row r="318" spans="1:8" ht="22.5">
      <c r="A318" s="8"/>
      <c r="B318" s="38" t="s">
        <v>1434</v>
      </c>
      <c r="C318" s="8"/>
      <c r="D318" s="8"/>
      <c r="E318" s="8"/>
      <c r="F318" s="64">
        <v>12966553</v>
      </c>
      <c r="G318" s="11"/>
      <c r="H318" s="64">
        <v>12966553</v>
      </c>
    </row>
    <row r="319" spans="1:8" ht="12.75">
      <c r="A319" s="8"/>
      <c r="B319" s="38" t="s">
        <v>1435</v>
      </c>
      <c r="C319" s="8"/>
      <c r="D319" s="8"/>
      <c r="E319" s="8"/>
      <c r="F319" s="64">
        <v>2241448</v>
      </c>
      <c r="G319" s="11"/>
      <c r="H319" s="64">
        <v>2241448</v>
      </c>
    </row>
    <row r="320" spans="1:8" ht="12.75">
      <c r="A320" s="8"/>
      <c r="B320" s="38" t="s">
        <v>1436</v>
      </c>
      <c r="C320" s="8"/>
      <c r="D320" s="8"/>
      <c r="E320" s="8"/>
      <c r="F320" s="64">
        <v>11008975</v>
      </c>
      <c r="G320" s="11"/>
      <c r="H320" s="64">
        <v>11008975</v>
      </c>
    </row>
    <row r="321" spans="1:8" ht="12.75">
      <c r="A321" s="8"/>
      <c r="B321" s="38" t="s">
        <v>1437</v>
      </c>
      <c r="C321" s="8"/>
      <c r="D321" s="8"/>
      <c r="E321" s="8"/>
      <c r="F321" s="64">
        <v>8004508</v>
      </c>
      <c r="G321" s="11"/>
      <c r="H321" s="64">
        <v>8004508</v>
      </c>
    </row>
    <row r="322" spans="1:8" ht="12.75">
      <c r="A322" s="8"/>
      <c r="B322" s="38" t="s">
        <v>1438</v>
      </c>
      <c r="C322" s="8"/>
      <c r="D322" s="8"/>
      <c r="E322" s="8"/>
      <c r="F322" s="64">
        <v>800</v>
      </c>
      <c r="G322" s="11"/>
      <c r="H322" s="64">
        <v>800</v>
      </c>
    </row>
    <row r="323" spans="1:8" ht="13.5" thickBot="1">
      <c r="A323" s="8"/>
      <c r="B323" s="38" t="s">
        <v>1439</v>
      </c>
      <c r="C323" s="8"/>
      <c r="D323" s="8"/>
      <c r="E323" s="8"/>
      <c r="F323" s="64">
        <v>-7955726</v>
      </c>
      <c r="G323" s="95"/>
      <c r="H323" s="64">
        <v>-7955726</v>
      </c>
    </row>
    <row r="324" spans="1:8" ht="13.5" thickBot="1">
      <c r="A324" s="8"/>
      <c r="B324" s="42" t="s">
        <v>1440</v>
      </c>
      <c r="C324" s="8"/>
      <c r="D324" s="8"/>
      <c r="E324" s="8"/>
      <c r="F324" s="84">
        <v>181687121</v>
      </c>
      <c r="G324" s="98"/>
      <c r="H324" s="84">
        <v>181687121</v>
      </c>
    </row>
    <row r="325" spans="1:8" ht="13.5" thickTop="1">
      <c r="A325" s="8"/>
      <c r="B325" s="38"/>
      <c r="C325" s="8"/>
      <c r="D325" s="8"/>
      <c r="E325" s="8"/>
      <c r="F325" s="99"/>
      <c r="G325" s="99"/>
      <c r="H325" s="99"/>
    </row>
    <row r="326" spans="1:8" ht="12.75">
      <c r="A326" s="8"/>
      <c r="B326" s="1264" t="s">
        <v>1441</v>
      </c>
      <c r="C326" s="1264"/>
      <c r="D326" s="1264"/>
      <c r="E326" s="1264"/>
      <c r="F326" s="1264"/>
      <c r="G326" s="1264"/>
      <c r="H326" s="1264"/>
    </row>
    <row r="327" spans="1:8" ht="12.75">
      <c r="A327" s="8"/>
      <c r="B327" s="38"/>
      <c r="C327" s="8"/>
      <c r="D327" s="8"/>
      <c r="E327" s="8"/>
      <c r="F327" s="11"/>
      <c r="G327" s="11"/>
      <c r="H327" s="11"/>
    </row>
    <row r="328" spans="1:8" ht="12.75">
      <c r="A328" s="8"/>
      <c r="B328" s="50" t="s">
        <v>1442</v>
      </c>
      <c r="C328" s="8"/>
      <c r="D328" s="8"/>
      <c r="E328" s="8"/>
      <c r="F328" s="64"/>
      <c r="G328" s="64"/>
      <c r="H328" s="64"/>
    </row>
    <row r="329" spans="1:8" ht="12.75">
      <c r="A329" s="8"/>
      <c r="B329" s="38" t="s">
        <v>1443</v>
      </c>
      <c r="C329" s="8"/>
      <c r="D329" s="8"/>
      <c r="E329" s="8"/>
      <c r="F329" s="64">
        <v>545606</v>
      </c>
      <c r="G329" s="64"/>
      <c r="H329" s="64">
        <v>545606</v>
      </c>
    </row>
    <row r="330" spans="1:8" ht="12.75">
      <c r="A330" s="8"/>
      <c r="B330" s="38" t="s">
        <v>1444</v>
      </c>
      <c r="C330" s="8"/>
      <c r="D330" s="8"/>
      <c r="E330" s="8"/>
      <c r="F330" s="64">
        <v>0</v>
      </c>
      <c r="G330" s="64"/>
      <c r="H330" s="64">
        <v>0</v>
      </c>
    </row>
    <row r="331" spans="1:8" ht="12.75">
      <c r="A331" s="8"/>
      <c r="B331" s="38" t="s">
        <v>1445</v>
      </c>
      <c r="C331" s="8"/>
      <c r="D331" s="8"/>
      <c r="E331" s="8"/>
      <c r="F331" s="64">
        <v>162504</v>
      </c>
      <c r="G331" s="64"/>
      <c r="H331" s="64">
        <v>162504</v>
      </c>
    </row>
    <row r="332" spans="1:8" ht="13.5" thickBot="1">
      <c r="A332" s="8"/>
      <c r="B332" s="38" t="s">
        <v>1446</v>
      </c>
      <c r="C332" s="8"/>
      <c r="D332" s="8"/>
      <c r="E332" s="8"/>
      <c r="F332" s="83">
        <v>36959</v>
      </c>
      <c r="G332" s="83"/>
      <c r="H332" s="83">
        <v>36959</v>
      </c>
    </row>
    <row r="333" spans="1:8" ht="13.5" thickBot="1">
      <c r="A333" s="8"/>
      <c r="B333" s="42" t="s">
        <v>1178</v>
      </c>
      <c r="C333" s="8"/>
      <c r="D333" s="8"/>
      <c r="E333" s="8"/>
      <c r="F333" s="97">
        <v>745069</v>
      </c>
      <c r="G333" s="97"/>
      <c r="H333" s="97">
        <v>745069</v>
      </c>
    </row>
    <row r="334" spans="1:8" ht="13.5" thickTop="1">
      <c r="A334" s="8"/>
      <c r="B334" s="42"/>
      <c r="C334" s="8"/>
      <c r="D334" s="8"/>
      <c r="E334" s="8"/>
      <c r="F334" s="88"/>
      <c r="G334" s="88"/>
      <c r="H334" s="88"/>
    </row>
    <row r="335" spans="1:8" ht="12.75">
      <c r="A335" s="8"/>
      <c r="B335" s="38"/>
      <c r="C335" s="8"/>
      <c r="D335" s="8"/>
      <c r="E335" s="8"/>
      <c r="F335" s="88"/>
      <c r="G335" s="88"/>
      <c r="H335" s="64"/>
    </row>
    <row r="336" spans="1:8" ht="12.75">
      <c r="A336" s="8"/>
      <c r="B336" s="50" t="s">
        <v>1447</v>
      </c>
      <c r="C336" s="8"/>
      <c r="D336" s="8"/>
      <c r="E336" s="8"/>
      <c r="F336" s="64"/>
      <c r="G336" s="64"/>
      <c r="H336" s="1"/>
    </row>
    <row r="337" spans="1:8" ht="12.75">
      <c r="A337" s="8"/>
      <c r="B337" s="38" t="s">
        <v>1443</v>
      </c>
      <c r="C337" s="8"/>
      <c r="D337" s="8"/>
      <c r="E337" s="8"/>
      <c r="F337" s="64">
        <v>567332</v>
      </c>
      <c r="G337" s="64"/>
      <c r="H337" s="64">
        <v>567332</v>
      </c>
    </row>
    <row r="338" spans="1:8" ht="12.75">
      <c r="A338" s="8"/>
      <c r="B338" s="38" t="s">
        <v>1444</v>
      </c>
      <c r="C338" s="8"/>
      <c r="D338" s="8"/>
      <c r="E338" s="8"/>
      <c r="F338" s="64">
        <v>0</v>
      </c>
      <c r="G338" s="64"/>
      <c r="H338" s="64">
        <v>0</v>
      </c>
    </row>
    <row r="339" spans="1:8" ht="12.75">
      <c r="A339" s="8"/>
      <c r="B339" s="38" t="s">
        <v>1445</v>
      </c>
      <c r="C339" s="8"/>
      <c r="D339" s="8"/>
      <c r="E339" s="8"/>
      <c r="F339" s="64">
        <v>108000</v>
      </c>
      <c r="G339" s="64"/>
      <c r="H339" s="64">
        <v>108000</v>
      </c>
    </row>
    <row r="340" spans="1:8" ht="13.5" thickBot="1">
      <c r="A340" s="8"/>
      <c r="B340" s="38" t="s">
        <v>1446</v>
      </c>
      <c r="C340" s="8"/>
      <c r="D340" s="8"/>
      <c r="E340" s="8"/>
      <c r="F340" s="83">
        <v>1071</v>
      </c>
      <c r="G340" s="83"/>
      <c r="H340" s="83">
        <v>1071</v>
      </c>
    </row>
    <row r="341" spans="1:8" ht="13.5" thickBot="1">
      <c r="A341" s="8"/>
      <c r="B341" s="42" t="s">
        <v>1178</v>
      </c>
      <c r="C341" s="8"/>
      <c r="D341" s="8"/>
      <c r="E341" s="8"/>
      <c r="F341" s="97">
        <v>676403</v>
      </c>
      <c r="G341" s="97"/>
      <c r="H341" s="97">
        <v>676403</v>
      </c>
    </row>
    <row r="342" spans="1:8" ht="13.5" thickTop="1">
      <c r="A342" s="8"/>
      <c r="B342" s="42"/>
      <c r="C342" s="8"/>
      <c r="D342" s="8"/>
      <c r="E342" s="8"/>
      <c r="F342" s="85"/>
      <c r="G342" s="85"/>
      <c r="H342" s="64"/>
    </row>
    <row r="343" spans="1:8" ht="21.75">
      <c r="A343" s="8"/>
      <c r="B343" s="50" t="s">
        <v>1448</v>
      </c>
      <c r="C343" s="70"/>
      <c r="D343" s="70"/>
      <c r="E343" s="12"/>
      <c r="F343" s="51"/>
      <c r="G343" s="51"/>
      <c r="H343" s="51"/>
    </row>
    <row r="344" spans="1:8" ht="12.75">
      <c r="A344" s="8"/>
      <c r="B344" s="42"/>
      <c r="D344" s="100"/>
      <c r="E344" s="12"/>
      <c r="F344" s="101" t="s">
        <v>1449</v>
      </c>
      <c r="G344" s="51"/>
      <c r="H344" s="102" t="s">
        <v>1450</v>
      </c>
    </row>
    <row r="345" spans="1:8" ht="12.75">
      <c r="A345" s="8"/>
      <c r="B345" s="42"/>
      <c r="D345" s="100"/>
      <c r="E345" s="12"/>
      <c r="F345" s="101" t="s">
        <v>1451</v>
      </c>
      <c r="G345" s="51"/>
      <c r="H345" s="102" t="s">
        <v>1451</v>
      </c>
    </row>
    <row r="346" spans="1:8" ht="12.75">
      <c r="A346" s="8"/>
      <c r="B346" s="42"/>
      <c r="D346" s="103"/>
      <c r="E346" s="10"/>
      <c r="F346" s="51" t="s">
        <v>1186</v>
      </c>
      <c r="G346" s="41"/>
      <c r="H346" s="51" t="s">
        <v>1186</v>
      </c>
    </row>
    <row r="347" spans="1:8" ht="12.75">
      <c r="A347" s="8"/>
      <c r="B347" s="104">
        <v>38898</v>
      </c>
      <c r="D347" s="66"/>
      <c r="E347" s="25"/>
      <c r="F347" s="23"/>
      <c r="G347" s="23"/>
      <c r="H347" s="23"/>
    </row>
    <row r="348" spans="1:8" ht="12.75">
      <c r="A348" s="8"/>
      <c r="B348" s="38" t="s">
        <v>1443</v>
      </c>
      <c r="D348" s="66"/>
      <c r="E348" s="25"/>
      <c r="F348" s="23">
        <v>0</v>
      </c>
      <c r="G348" s="23"/>
      <c r="H348" s="23">
        <v>0</v>
      </c>
    </row>
    <row r="349" spans="1:8" ht="12.75">
      <c r="A349" s="8"/>
      <c r="B349" s="38" t="s">
        <v>1444</v>
      </c>
      <c r="D349" s="66"/>
      <c r="E349" s="25"/>
      <c r="F349" s="23">
        <v>0</v>
      </c>
      <c r="G349" s="23"/>
      <c r="H349" s="23">
        <v>0</v>
      </c>
    </row>
    <row r="350" spans="1:8" ht="12.75">
      <c r="A350" s="8"/>
      <c r="B350" s="38" t="s">
        <v>1445</v>
      </c>
      <c r="D350" s="66"/>
      <c r="E350" s="25"/>
      <c r="F350" s="23">
        <v>0</v>
      </c>
      <c r="G350" s="23"/>
      <c r="H350" s="23">
        <v>0</v>
      </c>
    </row>
    <row r="351" spans="1:8" ht="13.5" thickBot="1">
      <c r="A351" s="8"/>
      <c r="B351" s="38" t="s">
        <v>1452</v>
      </c>
      <c r="D351" s="66"/>
      <c r="E351" s="25"/>
      <c r="F351" s="26">
        <v>0</v>
      </c>
      <c r="G351" s="23"/>
      <c r="H351" s="26">
        <v>0</v>
      </c>
    </row>
    <row r="352" spans="1:8" ht="13.5" thickBot="1">
      <c r="A352" s="8"/>
      <c r="B352" s="42" t="s">
        <v>1178</v>
      </c>
      <c r="D352" s="66"/>
      <c r="E352" s="25"/>
      <c r="F352" s="72">
        <v>0</v>
      </c>
      <c r="G352" s="23"/>
      <c r="H352" s="72">
        <v>0</v>
      </c>
    </row>
    <row r="353" spans="1:8" ht="13.5" thickTop="1">
      <c r="A353" s="8"/>
      <c r="B353" s="42"/>
      <c r="D353" s="105"/>
      <c r="E353" s="8"/>
      <c r="F353" s="27"/>
      <c r="G353" s="27"/>
      <c r="H353" s="27"/>
    </row>
    <row r="354" spans="1:8" ht="12.75">
      <c r="A354" s="8"/>
      <c r="B354" s="104">
        <v>38533</v>
      </c>
      <c r="D354" s="66"/>
      <c r="E354" s="25"/>
      <c r="F354" s="23"/>
      <c r="G354" s="23"/>
      <c r="H354" s="23"/>
    </row>
    <row r="355" spans="1:8" ht="12.75">
      <c r="A355" s="8"/>
      <c r="B355" s="38" t="s">
        <v>1443</v>
      </c>
      <c r="D355" s="66"/>
      <c r="E355" s="25"/>
      <c r="F355" s="23">
        <v>0</v>
      </c>
      <c r="G355" s="23"/>
      <c r="H355" s="23">
        <v>0</v>
      </c>
    </row>
    <row r="356" spans="1:8" ht="12.75">
      <c r="A356" s="8"/>
      <c r="B356" s="38" t="s">
        <v>1444</v>
      </c>
      <c r="D356" s="66"/>
      <c r="E356" s="25"/>
      <c r="F356" s="23">
        <v>0</v>
      </c>
      <c r="G356" s="23"/>
      <c r="H356" s="23">
        <v>0</v>
      </c>
    </row>
    <row r="357" spans="1:8" ht="12.75">
      <c r="A357" s="8"/>
      <c r="B357" s="38" t="s">
        <v>1445</v>
      </c>
      <c r="D357" s="66"/>
      <c r="E357" s="25"/>
      <c r="F357" s="23">
        <v>0</v>
      </c>
      <c r="G357" s="23"/>
      <c r="H357" s="23">
        <v>0</v>
      </c>
    </row>
    <row r="358" spans="1:8" ht="13.5" thickBot="1">
      <c r="A358" s="8"/>
      <c r="B358" s="38" t="s">
        <v>1452</v>
      </c>
      <c r="D358" s="66"/>
      <c r="E358" s="25"/>
      <c r="F358" s="26">
        <v>0</v>
      </c>
      <c r="G358" s="23"/>
      <c r="H358" s="26">
        <v>0</v>
      </c>
    </row>
    <row r="359" spans="1:8" ht="13.5" thickBot="1">
      <c r="A359" s="8"/>
      <c r="B359" s="42" t="s">
        <v>1178</v>
      </c>
      <c r="D359" s="66"/>
      <c r="E359" s="25"/>
      <c r="F359" s="72">
        <v>0</v>
      </c>
      <c r="G359" s="23"/>
      <c r="H359" s="72">
        <v>0</v>
      </c>
    </row>
    <row r="360" spans="1:8" ht="13.5" thickTop="1">
      <c r="A360" s="8"/>
      <c r="D360" s="2"/>
      <c r="F360" s="1"/>
      <c r="G360" s="1"/>
      <c r="H360" s="1"/>
    </row>
    <row r="361" spans="1:8" ht="12.75">
      <c r="A361" s="1293" t="s">
        <v>1453</v>
      </c>
      <c r="B361" s="1293"/>
      <c r="C361" s="1293"/>
      <c r="D361" s="1293"/>
      <c r="E361" s="1293"/>
      <c r="F361" s="1293"/>
      <c r="G361" s="1293"/>
      <c r="H361" s="1293"/>
    </row>
    <row r="362" spans="1:8" ht="12.75">
      <c r="A362" s="10"/>
      <c r="B362" s="42"/>
      <c r="C362" s="8"/>
      <c r="D362" s="8"/>
      <c r="E362" s="8"/>
      <c r="F362" s="70"/>
      <c r="G362" s="70"/>
      <c r="H362" s="12"/>
    </row>
    <row r="363" spans="1:8" ht="12.75">
      <c r="A363" s="10">
        <v>20</v>
      </c>
      <c r="B363" s="42" t="s">
        <v>1454</v>
      </c>
      <c r="C363" s="8"/>
      <c r="D363" s="8"/>
      <c r="E363" s="8"/>
      <c r="F363" s="70"/>
      <c r="G363" s="70"/>
      <c r="H363" s="12"/>
    </row>
    <row r="364" spans="1:8" ht="12.75">
      <c r="A364" s="8"/>
      <c r="B364" s="42"/>
      <c r="C364" s="8"/>
      <c r="D364" s="8"/>
      <c r="E364" s="8"/>
      <c r="F364" s="11"/>
      <c r="G364" s="11"/>
      <c r="H364" s="25"/>
    </row>
    <row r="365" spans="1:8" ht="12.75">
      <c r="A365" s="8"/>
      <c r="B365" s="38" t="s">
        <v>1455</v>
      </c>
      <c r="C365" s="8"/>
      <c r="D365" s="8"/>
      <c r="E365" s="8"/>
      <c r="F365" s="23">
        <v>494680</v>
      </c>
      <c r="G365" s="64"/>
      <c r="H365" s="23">
        <v>494680</v>
      </c>
    </row>
    <row r="366" spans="1:8" ht="12.75">
      <c r="A366" s="8"/>
      <c r="B366" s="38" t="s">
        <v>1456</v>
      </c>
      <c r="C366" s="8"/>
      <c r="D366" s="8"/>
      <c r="E366" s="8"/>
      <c r="F366" s="23">
        <v>322238</v>
      </c>
      <c r="G366" s="64"/>
      <c r="H366" s="23">
        <v>322238</v>
      </c>
    </row>
    <row r="367" spans="1:8" ht="12.75">
      <c r="A367" s="8"/>
      <c r="B367" s="38" t="s">
        <v>1457</v>
      </c>
      <c r="C367" s="8"/>
      <c r="D367" s="8"/>
      <c r="E367" s="8"/>
      <c r="F367" s="23">
        <v>3093178</v>
      </c>
      <c r="G367" s="64"/>
      <c r="H367" s="23">
        <v>3093178</v>
      </c>
    </row>
    <row r="368" spans="1:8" ht="12.75">
      <c r="A368" s="8"/>
      <c r="B368" s="38" t="s">
        <v>1458</v>
      </c>
      <c r="C368" s="8"/>
      <c r="D368" s="8"/>
      <c r="E368" s="8"/>
      <c r="F368" s="23">
        <v>5554075</v>
      </c>
      <c r="G368" s="64"/>
      <c r="H368" s="23">
        <v>5554075</v>
      </c>
    </row>
    <row r="369" spans="1:8" ht="13.5" thickBot="1">
      <c r="A369" s="8"/>
      <c r="B369" s="38" t="s">
        <v>1459</v>
      </c>
      <c r="C369" s="8"/>
      <c r="D369" s="8"/>
      <c r="E369" s="8"/>
      <c r="F369" s="26">
        <v>913624</v>
      </c>
      <c r="G369" s="83"/>
      <c r="H369" s="26">
        <v>913624</v>
      </c>
    </row>
    <row r="370" spans="1:8" ht="13.5" thickBot="1">
      <c r="A370" s="10"/>
      <c r="B370" s="42" t="s">
        <v>1460</v>
      </c>
      <c r="C370" s="10"/>
      <c r="D370" s="10"/>
      <c r="E370" s="10"/>
      <c r="F370" s="84">
        <v>10377795</v>
      </c>
      <c r="G370" s="84"/>
      <c r="H370" s="84">
        <v>10377795</v>
      </c>
    </row>
    <row r="371" spans="1:8" ht="13.5" thickTop="1">
      <c r="A371" s="8"/>
      <c r="B371" s="42"/>
      <c r="C371" s="8"/>
      <c r="D371" s="8"/>
      <c r="E371" s="8"/>
      <c r="F371" s="1302"/>
      <c r="G371" s="1302"/>
      <c r="H371" s="8"/>
    </row>
    <row r="372" spans="1:8" ht="12.75">
      <c r="A372" s="8"/>
      <c r="B372" s="50" t="s">
        <v>1461</v>
      </c>
      <c r="C372" s="8"/>
      <c r="D372" s="8"/>
      <c r="E372" s="8"/>
      <c r="F372" s="11"/>
      <c r="G372" s="11"/>
      <c r="H372" s="8"/>
    </row>
    <row r="373" spans="1:8" ht="12.75">
      <c r="A373" s="8"/>
      <c r="B373" s="42"/>
      <c r="C373" s="8"/>
      <c r="D373" s="8"/>
      <c r="E373" s="8"/>
      <c r="F373" s="11"/>
      <c r="G373" s="11"/>
      <c r="H373" s="8"/>
    </row>
    <row r="374" spans="1:8" ht="12.75">
      <c r="A374" s="8"/>
      <c r="B374" s="1264" t="s">
        <v>1462</v>
      </c>
      <c r="C374" s="1264"/>
      <c r="D374" s="1264"/>
      <c r="E374" s="1264"/>
      <c r="F374" s="1264"/>
      <c r="G374" s="1264"/>
      <c r="H374" s="1264"/>
    </row>
    <row r="375" spans="1:8" ht="12.75">
      <c r="A375" s="8"/>
      <c r="B375" s="38"/>
      <c r="C375" s="18"/>
      <c r="D375" s="18"/>
      <c r="E375" s="8"/>
      <c r="F375" s="11"/>
      <c r="G375" s="11"/>
      <c r="H375" s="8"/>
    </row>
    <row r="376" spans="1:8" ht="12.75">
      <c r="A376" s="8"/>
      <c r="B376" s="1264" t="s">
        <v>1463</v>
      </c>
      <c r="C376" s="1264"/>
      <c r="D376" s="1264"/>
      <c r="E376" s="1264"/>
      <c r="F376" s="1264"/>
      <c r="G376" s="1264"/>
      <c r="H376" s="1264"/>
    </row>
    <row r="377" spans="1:8" ht="12.75">
      <c r="A377" s="8"/>
      <c r="B377" s="38"/>
      <c r="C377" s="38"/>
      <c r="D377" s="38"/>
      <c r="E377" s="38"/>
      <c r="F377" s="38"/>
      <c r="G377" s="38"/>
      <c r="H377" s="38"/>
    </row>
    <row r="378" spans="1:8" ht="12.75">
      <c r="A378" s="8"/>
      <c r="B378" s="1264" t="s">
        <v>1464</v>
      </c>
      <c r="C378" s="1264"/>
      <c r="D378" s="1264"/>
      <c r="E378" s="8"/>
      <c r="F378" s="11"/>
      <c r="G378" s="11"/>
      <c r="H378" s="8"/>
    </row>
    <row r="379" spans="1:8" ht="12.75">
      <c r="A379" s="8"/>
      <c r="B379" s="42"/>
      <c r="C379" s="8"/>
      <c r="D379" s="8"/>
      <c r="E379" s="8"/>
      <c r="F379" s="11"/>
      <c r="G379" s="11"/>
      <c r="H379" s="8"/>
    </row>
    <row r="380" spans="1:8" ht="12.75">
      <c r="A380" s="10">
        <v>21</v>
      </c>
      <c r="B380" s="42" t="s">
        <v>1465</v>
      </c>
      <c r="C380" s="8"/>
      <c r="D380" s="8"/>
      <c r="E380" s="8"/>
      <c r="F380" s="11"/>
      <c r="G380" s="11"/>
      <c r="H380" s="8"/>
    </row>
    <row r="381" spans="1:8" ht="12.75">
      <c r="A381" s="8"/>
      <c r="B381" s="42"/>
      <c r="C381" s="8"/>
      <c r="D381" s="8"/>
      <c r="E381" s="8"/>
      <c r="F381" s="11"/>
      <c r="G381" s="11"/>
      <c r="H381" s="8"/>
    </row>
    <row r="382" spans="1:8" ht="12.75">
      <c r="A382" s="8"/>
      <c r="B382" s="38" t="s">
        <v>1466</v>
      </c>
      <c r="C382" s="8"/>
      <c r="D382" s="8"/>
      <c r="E382" s="8"/>
      <c r="F382" s="64">
        <v>50656239</v>
      </c>
      <c r="G382" s="11"/>
      <c r="H382" s="64">
        <v>50656239</v>
      </c>
    </row>
    <row r="383" spans="1:8" ht="13.5" thickBot="1">
      <c r="A383" s="8"/>
      <c r="B383" s="38"/>
      <c r="C383" s="8"/>
      <c r="D383" s="8"/>
      <c r="E383" s="8"/>
      <c r="F383" s="95"/>
      <c r="G383" s="95"/>
      <c r="H383" s="24"/>
    </row>
    <row r="384" spans="1:8" ht="13.5" thickBot="1">
      <c r="A384" s="8"/>
      <c r="B384" s="42" t="s">
        <v>1467</v>
      </c>
      <c r="C384" s="10"/>
      <c r="D384" s="10"/>
      <c r="E384" s="10"/>
      <c r="F384" s="84">
        <v>50656239</v>
      </c>
      <c r="G384" s="98"/>
      <c r="H384" s="32">
        <v>63608953</v>
      </c>
    </row>
    <row r="385" spans="1:8" ht="13.5" thickTop="1">
      <c r="A385" s="8"/>
      <c r="B385" s="42"/>
      <c r="C385" s="10"/>
      <c r="D385" s="10"/>
      <c r="E385" s="10"/>
      <c r="F385" s="106"/>
      <c r="G385" s="106"/>
      <c r="H385" s="12"/>
    </row>
    <row r="386" spans="1:8" ht="12.75">
      <c r="A386" s="10">
        <v>22</v>
      </c>
      <c r="B386" s="42" t="s">
        <v>1468</v>
      </c>
      <c r="C386" s="8"/>
      <c r="D386" s="8"/>
      <c r="E386" s="8"/>
      <c r="F386" s="11"/>
      <c r="G386" s="11"/>
      <c r="H386" s="8"/>
    </row>
    <row r="387" spans="1:8" ht="12.75">
      <c r="A387" s="8"/>
      <c r="B387" s="42"/>
      <c r="C387" s="8"/>
      <c r="D387" s="8"/>
      <c r="E387" s="8"/>
      <c r="F387" s="11"/>
      <c r="G387" s="11"/>
      <c r="H387" s="8"/>
    </row>
    <row r="388" spans="1:8" ht="12.75">
      <c r="A388" s="8"/>
      <c r="B388" s="38" t="s">
        <v>1469</v>
      </c>
      <c r="C388" s="8"/>
      <c r="D388" s="8"/>
      <c r="E388" s="8"/>
      <c r="F388" s="93">
        <v>109805047</v>
      </c>
      <c r="G388" s="11"/>
      <c r="H388" s="93">
        <v>109805047</v>
      </c>
    </row>
    <row r="389" spans="1:8" ht="13.5" thickBot="1">
      <c r="A389" s="8"/>
      <c r="B389" s="38" t="s">
        <v>1167</v>
      </c>
      <c r="C389" s="8"/>
      <c r="D389" s="8"/>
      <c r="E389" s="8"/>
      <c r="F389" s="93">
        <v>62870641</v>
      </c>
      <c r="G389" s="95"/>
      <c r="H389" s="93">
        <v>62870641</v>
      </c>
    </row>
    <row r="390" spans="1:8" ht="13.5" thickBot="1">
      <c r="A390" s="8"/>
      <c r="B390" s="42" t="s">
        <v>1470</v>
      </c>
      <c r="C390" s="8"/>
      <c r="D390" s="8"/>
      <c r="E390" s="8"/>
      <c r="F390" s="84">
        <v>172675688</v>
      </c>
      <c r="G390" s="98"/>
      <c r="H390" s="84">
        <v>172675688</v>
      </c>
    </row>
    <row r="391" spans="1:8" ht="13.5" thickTop="1">
      <c r="A391" s="10"/>
      <c r="B391" s="42"/>
      <c r="C391" s="8"/>
      <c r="D391" s="8"/>
      <c r="E391" s="11"/>
      <c r="F391" s="11"/>
      <c r="G391" s="8"/>
      <c r="H391" s="8"/>
    </row>
    <row r="392" spans="1:8" ht="12.75">
      <c r="A392" s="8"/>
      <c r="B392" s="38"/>
      <c r="C392" s="8"/>
      <c r="D392" s="8"/>
      <c r="E392" s="11"/>
      <c r="F392" s="11"/>
      <c r="G392" s="8"/>
      <c r="H392" s="8"/>
    </row>
    <row r="393" spans="1:8" ht="12.75">
      <c r="A393" s="10"/>
      <c r="B393" s="42"/>
      <c r="C393" s="10"/>
      <c r="D393" s="10"/>
      <c r="E393" s="10"/>
      <c r="F393" s="70"/>
      <c r="G393" s="70"/>
      <c r="H393" s="10"/>
    </row>
    <row r="395" spans="1:8" ht="12.75">
      <c r="A395" s="10">
        <v>23</v>
      </c>
      <c r="B395" s="42" t="s">
        <v>1471</v>
      </c>
      <c r="C395" s="10"/>
      <c r="D395" s="10"/>
      <c r="E395" s="10"/>
      <c r="F395" s="70"/>
      <c r="G395" s="70"/>
      <c r="H395" s="12"/>
    </row>
    <row r="396" spans="1:8" ht="12.75">
      <c r="A396" s="8"/>
      <c r="B396" s="38"/>
      <c r="C396" s="8"/>
      <c r="D396" s="8"/>
      <c r="E396" s="8"/>
      <c r="F396" s="11"/>
      <c r="G396" s="11"/>
      <c r="H396" s="8"/>
    </row>
    <row r="397" spans="1:8" ht="12.75">
      <c r="A397" s="8"/>
      <c r="B397" s="38" t="s">
        <v>1179</v>
      </c>
      <c r="C397" s="8"/>
      <c r="D397" s="8"/>
      <c r="E397" s="8"/>
      <c r="F397" s="133">
        <v>133620391</v>
      </c>
      <c r="G397" s="11"/>
      <c r="H397" s="64">
        <v>85923480</v>
      </c>
    </row>
    <row r="398" spans="1:8" ht="12.75">
      <c r="A398" s="8"/>
      <c r="B398" s="38" t="s">
        <v>1472</v>
      </c>
      <c r="C398" s="8"/>
      <c r="D398" s="27"/>
      <c r="E398" s="8"/>
      <c r="F398" s="64">
        <v>10256685</v>
      </c>
      <c r="G398" s="11"/>
      <c r="H398" s="64">
        <v>2002223</v>
      </c>
    </row>
    <row r="399" spans="1:8" ht="12.75">
      <c r="A399" s="8"/>
      <c r="B399" s="38" t="s">
        <v>1473</v>
      </c>
      <c r="C399" s="8"/>
      <c r="D399" s="8"/>
      <c r="E399" s="8"/>
      <c r="F399" s="11"/>
      <c r="G399" s="11"/>
      <c r="H399" s="11"/>
    </row>
    <row r="400" spans="1:8" ht="12.75">
      <c r="A400" s="8"/>
      <c r="B400" s="38" t="s">
        <v>1133</v>
      </c>
      <c r="C400" s="8"/>
      <c r="D400" s="8"/>
      <c r="E400" s="8"/>
      <c r="F400" s="64">
        <v>-5195334</v>
      </c>
      <c r="G400" s="11"/>
      <c r="H400" s="64">
        <v>101565</v>
      </c>
    </row>
    <row r="401" spans="1:8" ht="12.75">
      <c r="A401" s="8"/>
      <c r="B401" s="38" t="s">
        <v>1474</v>
      </c>
      <c r="C401" s="8"/>
      <c r="D401" s="8"/>
      <c r="E401" s="8"/>
      <c r="F401" s="64" t="e">
        <f>-'Grap i&amp;E'!#REF!</f>
        <v>#REF!</v>
      </c>
      <c r="G401" s="11"/>
      <c r="H401" s="64">
        <v>-4079825</v>
      </c>
    </row>
    <row r="402" spans="1:8" ht="12.75">
      <c r="A402" s="8"/>
      <c r="B402" s="38" t="s">
        <v>1475</v>
      </c>
      <c r="C402" s="8"/>
      <c r="D402" s="8"/>
      <c r="E402" s="8"/>
      <c r="F402" s="64">
        <v>0</v>
      </c>
      <c r="G402" s="11"/>
      <c r="H402" s="64">
        <v>0</v>
      </c>
    </row>
    <row r="403" spans="1:8" ht="12.75">
      <c r="A403" s="8"/>
      <c r="B403" s="38" t="s">
        <v>1476</v>
      </c>
      <c r="C403" s="8"/>
      <c r="D403" s="8"/>
      <c r="E403" s="8"/>
      <c r="F403" s="64">
        <f>'Grap i&amp;E'!F32</f>
        <v>35724656</v>
      </c>
      <c r="G403" s="11"/>
      <c r="H403" s="64">
        <v>50656239</v>
      </c>
    </row>
    <row r="404" spans="1:8" ht="13.5" thickBot="1">
      <c r="A404" s="8"/>
      <c r="B404" s="38" t="s">
        <v>1477</v>
      </c>
      <c r="C404" s="8"/>
      <c r="D404" s="8"/>
      <c r="E404" s="8"/>
      <c r="F404" s="83">
        <f>-'Grap i&amp;E'!F11</f>
        <v>-3865552</v>
      </c>
      <c r="G404" s="95"/>
      <c r="H404" s="83">
        <v>-20479954</v>
      </c>
    </row>
    <row r="405" spans="1:8" ht="22.5">
      <c r="A405" s="10"/>
      <c r="B405" s="42" t="s">
        <v>1478</v>
      </c>
      <c r="C405" s="10"/>
      <c r="D405" s="10"/>
      <c r="E405" s="10"/>
      <c r="F405" s="107" t="e">
        <f>SUM(F397:F404)</f>
        <v>#REF!</v>
      </c>
      <c r="G405" s="108"/>
      <c r="H405" s="107">
        <v>114123727</v>
      </c>
    </row>
    <row r="406" spans="1:8" ht="12.75">
      <c r="A406" s="8"/>
      <c r="B406" s="38" t="s">
        <v>1479</v>
      </c>
      <c r="C406" s="8"/>
      <c r="D406" s="8"/>
      <c r="E406" s="8"/>
      <c r="F406" s="64" t="e">
        <f>-('Grap Balance Sheet'!F46-'Grap Balance Sheet'!H46)</f>
        <v>#REF!</v>
      </c>
      <c r="G406" s="11"/>
      <c r="H406" s="64">
        <v>298882</v>
      </c>
    </row>
    <row r="407" spans="1:8" ht="12.75">
      <c r="A407" s="8"/>
      <c r="B407" s="38" t="s">
        <v>1480</v>
      </c>
      <c r="C407" s="8"/>
      <c r="D407" s="8"/>
      <c r="E407" s="8"/>
      <c r="F407" s="64">
        <f>-('Grap Balance Sheet'!F47-'Grap Balance Sheet'!H47)</f>
        <v>-42761529</v>
      </c>
      <c r="G407" s="11"/>
      <c r="H407" s="64">
        <v>5943958</v>
      </c>
    </row>
    <row r="408" spans="1:8" ht="12.75">
      <c r="A408" s="8"/>
      <c r="B408" s="38" t="s">
        <v>1481</v>
      </c>
      <c r="C408" s="8"/>
      <c r="D408" s="8"/>
      <c r="E408" s="8"/>
      <c r="F408" s="64" t="e">
        <f>-('Grap Balance Sheet'!F48-'Grap Balance Sheet'!H48)</f>
        <v>#REF!</v>
      </c>
      <c r="G408" s="11"/>
      <c r="H408" s="64">
        <v>8575172</v>
      </c>
    </row>
    <row r="409" spans="1:8" ht="22.5">
      <c r="A409" s="8"/>
      <c r="B409" s="38" t="s">
        <v>1482</v>
      </c>
      <c r="C409" s="8"/>
      <c r="D409" s="8"/>
      <c r="E409" s="8"/>
      <c r="F409" s="64" t="e">
        <f>'Grap Balance Sheet'!F26-'Grap Balance Sheet'!H26</f>
        <v>#REF!</v>
      </c>
      <c r="G409" s="11"/>
      <c r="H409" s="64">
        <v>-7911229</v>
      </c>
    </row>
    <row r="410" spans="1:8" ht="12.75">
      <c r="A410" s="8"/>
      <c r="B410" s="38" t="s">
        <v>1483</v>
      </c>
      <c r="C410" s="8"/>
      <c r="D410" s="8"/>
      <c r="E410" s="8"/>
      <c r="F410" s="64" t="e">
        <f>'Grap Balance Sheet'!F25-'Grap Balance Sheet'!H25</f>
        <v>#REF!</v>
      </c>
      <c r="G410" s="11"/>
      <c r="H410" s="64">
        <v>313985</v>
      </c>
    </row>
    <row r="411" spans="1:8" ht="12.75">
      <c r="A411" s="8"/>
      <c r="B411" s="38" t="s">
        <v>1484</v>
      </c>
      <c r="C411" s="8"/>
      <c r="D411" s="8"/>
      <c r="E411" s="8"/>
      <c r="F411" s="64" t="e">
        <f>'Grap Balance Sheet'!F23-'Grap Balance Sheet'!H23</f>
        <v>#REF!</v>
      </c>
      <c r="G411" s="11"/>
      <c r="H411" s="64">
        <v>10716495</v>
      </c>
    </row>
    <row r="412" spans="1:8" ht="13.5" thickBot="1">
      <c r="A412" s="8"/>
      <c r="B412" s="38" t="s">
        <v>1485</v>
      </c>
      <c r="C412" s="8"/>
      <c r="D412" s="8"/>
      <c r="E412" s="8"/>
      <c r="F412" s="83">
        <f>'Grap Balance Sheet'!F27-'Grap Balance Sheet'!H27</f>
        <v>25810931</v>
      </c>
      <c r="G412" s="95"/>
      <c r="H412" s="83">
        <v>5503868</v>
      </c>
    </row>
    <row r="413" spans="1:8" ht="13.5" thickBot="1">
      <c r="A413" s="10"/>
      <c r="B413" s="42" t="s">
        <v>1486</v>
      </c>
      <c r="C413" s="41"/>
      <c r="D413" s="41"/>
      <c r="E413" s="10"/>
      <c r="F413" s="84" t="e">
        <f>SUM(F405:F412)</f>
        <v>#REF!</v>
      </c>
      <c r="G413" s="98"/>
      <c r="H413" s="84">
        <v>137564857</v>
      </c>
    </row>
    <row r="414" spans="1:8" ht="13.5" thickTop="1">
      <c r="A414" s="10"/>
      <c r="B414" s="42"/>
      <c r="C414" s="10"/>
      <c r="D414" s="10"/>
      <c r="E414" s="10"/>
      <c r="F414" s="106"/>
      <c r="G414" s="106"/>
      <c r="H414" s="10"/>
    </row>
    <row r="415" spans="1:8" ht="12.75">
      <c r="A415" s="10">
        <v>24</v>
      </c>
      <c r="B415" s="42" t="s">
        <v>1487</v>
      </c>
      <c r="C415" s="10"/>
      <c r="D415" s="10"/>
      <c r="E415" s="10"/>
      <c r="F415" s="70"/>
      <c r="G415" s="70"/>
      <c r="H415" s="10"/>
    </row>
    <row r="416" spans="1:8" ht="12.75">
      <c r="A416" s="10"/>
      <c r="B416" s="42"/>
      <c r="C416" s="10"/>
      <c r="D416" s="10"/>
      <c r="E416" s="10"/>
      <c r="F416" s="70"/>
      <c r="G416" s="70"/>
      <c r="H416" s="10"/>
    </row>
    <row r="417" spans="1:8" ht="12.75">
      <c r="A417" s="10"/>
      <c r="B417" s="1264" t="s">
        <v>1488</v>
      </c>
      <c r="C417" s="1264"/>
      <c r="D417" s="1264"/>
      <c r="E417" s="1264"/>
      <c r="F417" s="1264"/>
      <c r="G417" s="1264"/>
      <c r="H417" s="1264"/>
    </row>
    <row r="418" spans="1:8" ht="12.75">
      <c r="A418" s="10"/>
      <c r="B418" s="38"/>
      <c r="C418" s="8"/>
      <c r="D418" s="8"/>
      <c r="E418" s="8"/>
      <c r="F418" s="11"/>
      <c r="G418" s="11"/>
      <c r="H418" s="8"/>
    </row>
    <row r="419" spans="1:8" ht="12.75">
      <c r="A419" s="10"/>
      <c r="B419" s="38" t="s">
        <v>1489</v>
      </c>
      <c r="C419" s="8"/>
      <c r="D419" s="8"/>
      <c r="E419" s="8"/>
      <c r="F419" s="64">
        <f>'Grap Balance Sheet'!F50</f>
        <v>6033152</v>
      </c>
      <c r="G419" s="64"/>
      <c r="H419" s="64">
        <v>34726</v>
      </c>
    </row>
    <row r="420" spans="1:8" ht="13.5" thickBot="1">
      <c r="A420" s="10"/>
      <c r="B420" s="38" t="s">
        <v>1490</v>
      </c>
      <c r="C420" s="8"/>
      <c r="D420" s="8"/>
      <c r="E420" s="8"/>
      <c r="F420" s="64">
        <v>-21181782</v>
      </c>
      <c r="G420" s="64"/>
      <c r="H420" s="64">
        <v>-21181782</v>
      </c>
    </row>
    <row r="421" spans="1:8" ht="13.5" thickBot="1">
      <c r="A421" s="10"/>
      <c r="B421" s="42" t="s">
        <v>1491</v>
      </c>
      <c r="C421" s="10"/>
      <c r="D421" s="10"/>
      <c r="E421" s="10"/>
      <c r="F421" s="84">
        <f>F419+F420</f>
        <v>-15148630</v>
      </c>
      <c r="G421" s="84"/>
      <c r="H421" s="84">
        <v>-21147056</v>
      </c>
    </row>
    <row r="422" spans="1:8" ht="13.5" thickTop="1">
      <c r="A422" s="10"/>
      <c r="B422" s="42"/>
      <c r="C422" s="10"/>
      <c r="D422" s="10"/>
      <c r="E422" s="10"/>
      <c r="F422" s="106"/>
      <c r="G422" s="106"/>
      <c r="H422" s="10"/>
    </row>
    <row r="423" spans="1:8" ht="12.75">
      <c r="A423" s="14"/>
      <c r="B423" s="81"/>
      <c r="C423" s="14"/>
      <c r="D423" s="14"/>
      <c r="E423" s="14"/>
      <c r="F423" s="14"/>
      <c r="G423" s="14"/>
      <c r="H423" s="14"/>
    </row>
    <row r="424" spans="1:8" ht="12.75">
      <c r="A424" s="10">
        <v>25</v>
      </c>
      <c r="B424" s="1298" t="s">
        <v>1492</v>
      </c>
      <c r="C424" s="1298"/>
      <c r="D424" s="1298"/>
      <c r="E424" s="1298"/>
      <c r="F424" s="10"/>
      <c r="G424" s="10"/>
      <c r="H424" s="10"/>
    </row>
    <row r="425" spans="1:8" ht="12.75">
      <c r="A425" s="8"/>
      <c r="B425" s="1298"/>
      <c r="C425" s="1298"/>
      <c r="D425" s="10"/>
      <c r="E425" s="10"/>
      <c r="F425" s="10"/>
      <c r="G425" s="10"/>
      <c r="H425" s="10"/>
    </row>
    <row r="426" spans="1:8" ht="12.75">
      <c r="A426" s="8"/>
      <c r="B426" s="1300" t="s">
        <v>1493</v>
      </c>
      <c r="C426" s="1300"/>
      <c r="D426" s="10"/>
      <c r="E426" s="10"/>
      <c r="F426" s="10"/>
      <c r="G426" s="10"/>
      <c r="H426" s="10"/>
    </row>
    <row r="427" spans="1:8" ht="12.75">
      <c r="A427" s="8"/>
      <c r="B427" s="1298"/>
      <c r="C427" s="1298"/>
      <c r="D427" s="10"/>
      <c r="E427" s="10"/>
      <c r="F427" s="41"/>
      <c r="G427" s="41"/>
      <c r="H427" s="41"/>
    </row>
    <row r="428" spans="1:8" ht="12.75">
      <c r="A428" s="8"/>
      <c r="B428" s="1299" t="s">
        <v>1494</v>
      </c>
      <c r="C428" s="1299"/>
      <c r="D428" s="10"/>
      <c r="E428" s="10"/>
      <c r="F428" s="23">
        <v>0</v>
      </c>
      <c r="G428" s="1"/>
      <c r="H428" s="23">
        <v>0</v>
      </c>
    </row>
    <row r="429" spans="1:8" ht="12.75">
      <c r="A429" s="8"/>
      <c r="B429" s="1299" t="s">
        <v>1495</v>
      </c>
      <c r="C429" s="1299"/>
      <c r="D429" s="10"/>
      <c r="E429" s="10"/>
      <c r="F429" s="23">
        <v>245455</v>
      </c>
      <c r="G429" s="1"/>
      <c r="H429" s="23">
        <v>245455</v>
      </c>
    </row>
    <row r="430" spans="1:8" ht="12.75">
      <c r="A430" s="8"/>
      <c r="B430" s="1299" t="s">
        <v>1496</v>
      </c>
      <c r="C430" s="1299"/>
      <c r="D430" s="10"/>
      <c r="E430" s="10"/>
      <c r="F430" s="23">
        <v>245455</v>
      </c>
      <c r="G430" s="1"/>
      <c r="H430" s="23">
        <v>245455</v>
      </c>
    </row>
    <row r="431" spans="1:8" ht="13.5" thickBot="1">
      <c r="A431" s="8"/>
      <c r="B431" s="1299" t="s">
        <v>1497</v>
      </c>
      <c r="C431" s="1299"/>
      <c r="D431" s="10"/>
      <c r="E431" s="10"/>
      <c r="F431" s="26"/>
      <c r="G431" s="1"/>
      <c r="H431" s="26"/>
    </row>
    <row r="432" spans="1:8" ht="13.5" thickBot="1">
      <c r="A432" s="8"/>
      <c r="B432" s="1301" t="s">
        <v>1498</v>
      </c>
      <c r="C432" s="1301"/>
      <c r="D432" s="10"/>
      <c r="E432" s="10"/>
      <c r="F432" s="32">
        <v>0</v>
      </c>
      <c r="G432" s="1"/>
      <c r="H432" s="32">
        <v>0</v>
      </c>
    </row>
    <row r="433" spans="1:8" ht="13.5" thickTop="1">
      <c r="A433" s="14"/>
      <c r="B433" s="81"/>
      <c r="C433" s="14"/>
      <c r="D433" s="14"/>
      <c r="E433" s="14"/>
      <c r="F433" s="91"/>
      <c r="G433" s="91"/>
      <c r="H433" s="91"/>
    </row>
    <row r="434" spans="1:8" ht="12.75">
      <c r="A434" s="1293" t="s">
        <v>1499</v>
      </c>
      <c r="B434" s="1293"/>
      <c r="C434" s="1293"/>
      <c r="D434" s="1293"/>
      <c r="E434" s="1293"/>
      <c r="F434" s="1293"/>
      <c r="G434" s="1293"/>
      <c r="H434" s="1293"/>
    </row>
    <row r="435" spans="1:8" ht="12.75">
      <c r="A435" s="10"/>
      <c r="B435" s="54" t="s">
        <v>1500</v>
      </c>
      <c r="C435" s="10"/>
      <c r="D435" s="10"/>
      <c r="E435" s="10"/>
      <c r="F435" s="41"/>
      <c r="G435" s="41"/>
      <c r="H435" s="41"/>
    </row>
    <row r="436" spans="1:8" ht="12.75">
      <c r="A436" s="10"/>
      <c r="B436" s="42"/>
      <c r="C436" s="10"/>
      <c r="D436" s="10"/>
      <c r="E436" s="10"/>
      <c r="F436" s="41"/>
      <c r="G436" s="41"/>
      <c r="H436" s="41"/>
    </row>
    <row r="437" spans="1:8" ht="12.75">
      <c r="A437" s="10"/>
      <c r="B437" s="39" t="s">
        <v>1494</v>
      </c>
      <c r="C437" s="10"/>
      <c r="D437" s="10"/>
      <c r="E437" s="10"/>
      <c r="F437" s="23">
        <v>0</v>
      </c>
      <c r="G437" s="27"/>
      <c r="H437" s="23">
        <v>0</v>
      </c>
    </row>
    <row r="438" spans="1:8" ht="12.75">
      <c r="A438" s="10"/>
      <c r="B438" s="39" t="s">
        <v>1501</v>
      </c>
      <c r="C438" s="10"/>
      <c r="D438" s="10"/>
      <c r="E438" s="10"/>
      <c r="F438" s="23">
        <v>491369</v>
      </c>
      <c r="G438" s="27"/>
      <c r="H438" s="23">
        <v>491369</v>
      </c>
    </row>
    <row r="439" spans="1:8" ht="12.75">
      <c r="A439" s="10"/>
      <c r="B439" s="39" t="s">
        <v>1496</v>
      </c>
      <c r="C439" s="10"/>
      <c r="D439" s="10"/>
      <c r="E439" s="10"/>
      <c r="F439" s="23">
        <v>491369</v>
      </c>
      <c r="G439" s="27"/>
      <c r="H439" s="23">
        <v>491369</v>
      </c>
    </row>
    <row r="440" spans="1:8" ht="13.5" thickBot="1">
      <c r="A440" s="10"/>
      <c r="B440" s="39" t="s">
        <v>1497</v>
      </c>
      <c r="C440" s="10"/>
      <c r="D440" s="10"/>
      <c r="E440" s="10"/>
      <c r="F440" s="26"/>
      <c r="G440" s="27"/>
      <c r="H440" s="26"/>
    </row>
    <row r="441" spans="1:8" ht="13.5" thickBot="1">
      <c r="A441" s="10"/>
      <c r="B441" s="40" t="s">
        <v>1498</v>
      </c>
      <c r="C441" s="10"/>
      <c r="D441" s="10"/>
      <c r="E441" s="10"/>
      <c r="F441" s="32">
        <v>0</v>
      </c>
      <c r="G441" s="41"/>
      <c r="H441" s="32">
        <v>0</v>
      </c>
    </row>
    <row r="442" spans="1:8" ht="13.5" thickTop="1">
      <c r="A442" s="10"/>
      <c r="B442" s="40"/>
      <c r="C442" s="10"/>
      <c r="D442" s="10"/>
      <c r="E442" s="10"/>
      <c r="F442" s="41"/>
      <c r="G442" s="41"/>
      <c r="H442" s="41"/>
    </row>
    <row r="444" spans="1:8" ht="12.75">
      <c r="A444" s="10"/>
      <c r="B444" s="54" t="s">
        <v>1502</v>
      </c>
      <c r="C444" s="10"/>
      <c r="D444" s="10"/>
      <c r="E444" s="10"/>
      <c r="F444" s="41"/>
      <c r="G444" s="41"/>
      <c r="H444" s="41"/>
    </row>
    <row r="445" spans="1:8" ht="12.75">
      <c r="A445" s="10"/>
      <c r="B445" s="42"/>
      <c r="C445" s="10"/>
      <c r="D445" s="10"/>
      <c r="E445" s="10"/>
      <c r="F445" s="41"/>
      <c r="G445" s="41"/>
      <c r="H445" s="41"/>
    </row>
    <row r="446" spans="1:8" ht="12.75">
      <c r="A446" s="10"/>
      <c r="B446" s="1264" t="s">
        <v>1503</v>
      </c>
      <c r="C446" s="1264"/>
      <c r="D446" s="1264"/>
      <c r="E446" s="10"/>
      <c r="F446" s="41"/>
      <c r="G446" s="41"/>
      <c r="H446" s="41"/>
    </row>
    <row r="447" spans="1:8" ht="12.75">
      <c r="A447" s="10"/>
      <c r="B447" s="38"/>
      <c r="C447" s="10"/>
      <c r="D447" s="10"/>
      <c r="E447" s="10"/>
      <c r="F447" s="41"/>
      <c r="G447" s="41"/>
      <c r="H447" s="41"/>
    </row>
    <row r="448" spans="1:8" ht="12.75">
      <c r="A448" s="10"/>
      <c r="B448" s="54" t="s">
        <v>1504</v>
      </c>
      <c r="C448" s="10"/>
      <c r="D448" s="10"/>
      <c r="E448" s="10"/>
      <c r="F448" s="41"/>
      <c r="G448" s="41"/>
      <c r="H448" s="41"/>
    </row>
    <row r="449" spans="1:8" ht="12.75">
      <c r="A449" s="10"/>
      <c r="B449" s="42"/>
      <c r="C449" s="10"/>
      <c r="D449" s="10"/>
      <c r="E449" s="10"/>
      <c r="F449" s="41"/>
      <c r="G449" s="41"/>
      <c r="H449" s="41"/>
    </row>
    <row r="450" spans="1:8" ht="12.75">
      <c r="A450" s="10"/>
      <c r="B450" s="39" t="s">
        <v>1494</v>
      </c>
      <c r="C450" s="10"/>
      <c r="D450" s="10"/>
      <c r="E450" s="10"/>
      <c r="F450" s="23">
        <v>0</v>
      </c>
      <c r="G450" s="27"/>
      <c r="H450" s="23">
        <v>0</v>
      </c>
    </row>
    <row r="451" spans="1:8" ht="12.75">
      <c r="A451" s="10"/>
      <c r="B451" s="39" t="s">
        <v>1505</v>
      </c>
      <c r="C451" s="10"/>
      <c r="D451" s="10"/>
      <c r="E451" s="10"/>
      <c r="F451" s="23">
        <v>1800559</v>
      </c>
      <c r="G451" s="27"/>
      <c r="H451" s="23">
        <v>1800559</v>
      </c>
    </row>
    <row r="452" spans="1:8" ht="12.75">
      <c r="A452" s="10"/>
      <c r="B452" s="39" t="s">
        <v>1496</v>
      </c>
      <c r="C452" s="10"/>
      <c r="D452" s="10"/>
      <c r="E452" s="10"/>
      <c r="F452" s="23">
        <v>1800559</v>
      </c>
      <c r="G452" s="27"/>
      <c r="H452" s="23">
        <v>1800559</v>
      </c>
    </row>
    <row r="453" spans="1:8" ht="13.5" thickBot="1">
      <c r="A453" s="10"/>
      <c r="B453" s="39" t="s">
        <v>1497</v>
      </c>
      <c r="C453" s="10"/>
      <c r="D453" s="10"/>
      <c r="E453" s="10"/>
      <c r="F453" s="26"/>
      <c r="G453" s="27"/>
      <c r="H453" s="26"/>
    </row>
    <row r="454" spans="1:8" ht="13.5" thickBot="1">
      <c r="A454" s="10"/>
      <c r="B454" s="40" t="s">
        <v>1498</v>
      </c>
      <c r="C454" s="10"/>
      <c r="D454" s="10"/>
      <c r="E454" s="10"/>
      <c r="F454" s="32">
        <v>0</v>
      </c>
      <c r="G454" s="41"/>
      <c r="H454" s="32">
        <v>0</v>
      </c>
    </row>
    <row r="455" spans="1:8" ht="13.5" thickTop="1">
      <c r="A455" s="10"/>
      <c r="B455" s="39"/>
      <c r="C455" s="10"/>
      <c r="D455" s="10"/>
      <c r="E455" s="10"/>
      <c r="F455" s="41"/>
      <c r="G455" s="41"/>
      <c r="H455" s="41"/>
    </row>
    <row r="456" spans="1:8" ht="12.75">
      <c r="A456" s="10"/>
      <c r="B456" s="1264"/>
      <c r="C456" s="1264"/>
      <c r="D456" s="1264"/>
      <c r="E456" s="10"/>
      <c r="F456" s="41"/>
      <c r="G456" s="41"/>
      <c r="H456" s="41"/>
    </row>
    <row r="457" spans="1:8" ht="12.75">
      <c r="A457" s="10"/>
      <c r="B457" s="39"/>
      <c r="C457" s="10"/>
      <c r="D457" s="10"/>
      <c r="E457" s="10"/>
      <c r="F457" s="41"/>
      <c r="G457" s="41"/>
      <c r="H457" s="41"/>
    </row>
    <row r="458" spans="1:8" ht="12.75">
      <c r="A458" s="10"/>
      <c r="B458" s="54" t="s">
        <v>1506</v>
      </c>
      <c r="C458" s="10"/>
      <c r="D458" s="10"/>
      <c r="E458" s="10"/>
      <c r="F458" s="41"/>
      <c r="G458" s="41"/>
      <c r="H458" s="41"/>
    </row>
    <row r="459" spans="1:8" ht="12.75">
      <c r="A459" s="10"/>
      <c r="B459" s="42"/>
      <c r="C459" s="10"/>
      <c r="D459" s="10"/>
      <c r="E459" s="10"/>
      <c r="F459" s="41"/>
      <c r="G459" s="41"/>
      <c r="H459" s="41"/>
    </row>
    <row r="460" spans="1:8" ht="12.75">
      <c r="A460" s="10"/>
      <c r="B460" s="39" t="s">
        <v>1494</v>
      </c>
      <c r="C460" s="10"/>
      <c r="D460" s="10"/>
      <c r="E460" s="10"/>
      <c r="F460" s="23">
        <v>0</v>
      </c>
      <c r="G460" s="27"/>
      <c r="H460" s="23">
        <v>0</v>
      </c>
    </row>
    <row r="461" spans="1:8" ht="22.5">
      <c r="A461" s="10"/>
      <c r="B461" s="39" t="s">
        <v>1507</v>
      </c>
      <c r="C461" s="10"/>
      <c r="D461" s="10"/>
      <c r="E461" s="10"/>
      <c r="F461" s="23">
        <v>2702538</v>
      </c>
      <c r="G461" s="27"/>
      <c r="H461" s="23">
        <v>2702538</v>
      </c>
    </row>
    <row r="462" spans="1:8" ht="12.75">
      <c r="A462" s="10"/>
      <c r="B462" s="39" t="s">
        <v>1496</v>
      </c>
      <c r="C462" s="10"/>
      <c r="D462" s="10"/>
      <c r="E462" s="10"/>
      <c r="F462" s="23">
        <v>2702538</v>
      </c>
      <c r="G462" s="27"/>
      <c r="H462" s="23">
        <v>2702538</v>
      </c>
    </row>
    <row r="463" spans="1:8" ht="13.5" thickBot="1">
      <c r="A463" s="10"/>
      <c r="B463" s="39" t="s">
        <v>1497</v>
      </c>
      <c r="C463" s="10"/>
      <c r="D463" s="10"/>
      <c r="E463" s="10"/>
      <c r="F463" s="26"/>
      <c r="G463" s="27"/>
      <c r="H463" s="26"/>
    </row>
    <row r="464" spans="1:8" ht="13.5" thickBot="1">
      <c r="A464" s="10"/>
      <c r="B464" s="40" t="s">
        <v>1498</v>
      </c>
      <c r="C464" s="10"/>
      <c r="D464" s="10"/>
      <c r="E464" s="10"/>
      <c r="F464" s="32">
        <v>0</v>
      </c>
      <c r="G464" s="41"/>
      <c r="H464" s="32">
        <v>0</v>
      </c>
    </row>
    <row r="465" spans="1:8" ht="13.5" thickTop="1">
      <c r="A465" s="10"/>
      <c r="B465" s="39"/>
      <c r="C465" s="10"/>
      <c r="D465" s="10"/>
      <c r="E465" s="10"/>
      <c r="F465" s="10"/>
      <c r="G465" s="10"/>
      <c r="H465" s="10"/>
    </row>
    <row r="466" spans="1:8" ht="12.75">
      <c r="A466" s="10"/>
      <c r="B466" s="1264"/>
      <c r="C466" s="1264"/>
      <c r="D466" s="1264"/>
      <c r="E466" s="10"/>
      <c r="F466" s="10"/>
      <c r="G466" s="10"/>
      <c r="H466" s="10"/>
    </row>
    <row r="467" spans="1:8" ht="12.75">
      <c r="A467" s="10"/>
      <c r="B467" s="39"/>
      <c r="C467" s="10"/>
      <c r="D467" s="10"/>
      <c r="E467" s="10"/>
      <c r="F467" s="10"/>
      <c r="G467" s="10"/>
      <c r="H467" s="10"/>
    </row>
    <row r="468" spans="1:8" ht="12.75">
      <c r="A468" s="10"/>
      <c r="B468" s="54" t="s">
        <v>1508</v>
      </c>
      <c r="C468" s="10"/>
      <c r="D468" s="10"/>
      <c r="E468" s="10"/>
      <c r="F468" s="10"/>
      <c r="G468" s="10"/>
      <c r="H468" s="10"/>
    </row>
    <row r="469" spans="1:8" ht="12.75">
      <c r="A469" s="10"/>
      <c r="B469" s="42"/>
      <c r="C469" s="10"/>
      <c r="D469" s="10"/>
      <c r="E469" s="10"/>
      <c r="F469" s="10"/>
      <c r="G469" s="10"/>
      <c r="H469" s="10"/>
    </row>
    <row r="470" spans="1:8" ht="22.5">
      <c r="A470" s="10"/>
      <c r="B470" s="38" t="s">
        <v>1509</v>
      </c>
      <c r="C470" s="10"/>
      <c r="D470" s="10"/>
      <c r="E470" s="10"/>
      <c r="F470" s="10"/>
      <c r="G470" s="10"/>
      <c r="H470" s="10"/>
    </row>
    <row r="471" spans="1:8" ht="12.75">
      <c r="A471" s="10"/>
      <c r="B471" s="38" t="s">
        <v>1510</v>
      </c>
      <c r="C471" s="10"/>
      <c r="D471" s="10"/>
      <c r="E471" s="10"/>
      <c r="F471" s="10"/>
      <c r="G471" s="10"/>
      <c r="H471" s="10"/>
    </row>
    <row r="472" spans="1:8" ht="12.75">
      <c r="A472" s="10"/>
      <c r="B472" s="16"/>
      <c r="C472" s="16"/>
      <c r="D472" s="16"/>
      <c r="E472" s="70"/>
      <c r="G472" s="10"/>
      <c r="H472" s="10"/>
    </row>
    <row r="473" spans="1:8" ht="12.75">
      <c r="A473" s="10"/>
      <c r="B473" s="16"/>
      <c r="C473" s="16"/>
      <c r="D473" s="109" t="s">
        <v>1178</v>
      </c>
      <c r="E473" s="109"/>
      <c r="F473" s="109" t="s">
        <v>1511</v>
      </c>
      <c r="G473" s="110"/>
      <c r="H473" s="111" t="s">
        <v>1511</v>
      </c>
    </row>
    <row r="474" spans="1:8" ht="12.75">
      <c r="A474" s="10"/>
      <c r="B474" s="16"/>
      <c r="C474" s="16"/>
      <c r="D474" s="109"/>
      <c r="E474" s="109"/>
      <c r="F474" s="109" t="s">
        <v>1512</v>
      </c>
      <c r="G474" s="10"/>
      <c r="H474" s="111" t="s">
        <v>1513</v>
      </c>
    </row>
    <row r="475" spans="1:8" ht="12.75">
      <c r="A475" s="10"/>
      <c r="B475" s="16"/>
      <c r="C475" s="16"/>
      <c r="D475" s="109"/>
      <c r="E475" s="109"/>
      <c r="F475" s="109" t="s">
        <v>1514</v>
      </c>
      <c r="G475" s="10"/>
      <c r="H475" s="111" t="s">
        <v>1515</v>
      </c>
    </row>
    <row r="476" spans="1:8" ht="12.75">
      <c r="A476" s="10"/>
      <c r="B476" s="16"/>
      <c r="C476" s="16"/>
      <c r="D476" s="7" t="s">
        <v>1186</v>
      </c>
      <c r="E476" s="7"/>
      <c r="F476" s="7" t="s">
        <v>1186</v>
      </c>
      <c r="G476" s="7"/>
      <c r="H476" s="7" t="s">
        <v>1186</v>
      </c>
    </row>
    <row r="477" spans="1:8" ht="12.75">
      <c r="A477" s="10"/>
      <c r="B477" s="16" t="s">
        <v>1516</v>
      </c>
      <c r="C477" s="16"/>
      <c r="D477" s="11"/>
      <c r="E477" s="11"/>
      <c r="F477" s="11"/>
      <c r="G477" s="8"/>
      <c r="H477" s="25"/>
    </row>
    <row r="478" spans="1:8" ht="12.75">
      <c r="A478" s="10"/>
      <c r="B478" s="17" t="s">
        <v>1517</v>
      </c>
      <c r="C478" s="17"/>
      <c r="D478" s="64">
        <v>1101</v>
      </c>
      <c r="E478" s="64"/>
      <c r="F478" s="64">
        <v>1101</v>
      </c>
      <c r="G478" s="27"/>
      <c r="H478" s="23"/>
    </row>
    <row r="479" spans="1:8" ht="12.75">
      <c r="A479" s="10"/>
      <c r="B479" s="17" t="s">
        <v>1518</v>
      </c>
      <c r="C479" s="17"/>
      <c r="D479" s="64">
        <v>1397</v>
      </c>
      <c r="E479" s="64"/>
      <c r="F479" s="64">
        <v>1397</v>
      </c>
      <c r="G479" s="27"/>
      <c r="H479" s="23"/>
    </row>
    <row r="480" spans="1:8" ht="12.75">
      <c r="A480" s="10"/>
      <c r="B480" s="17" t="s">
        <v>1519</v>
      </c>
      <c r="C480" s="17"/>
      <c r="D480" s="64">
        <v>2515</v>
      </c>
      <c r="E480" s="64"/>
      <c r="F480" s="64">
        <v>2515</v>
      </c>
      <c r="G480" s="27"/>
      <c r="H480" s="23"/>
    </row>
    <row r="481" spans="1:8" ht="12.75">
      <c r="A481" s="10"/>
      <c r="B481" s="17" t="s">
        <v>1520</v>
      </c>
      <c r="C481" s="17"/>
      <c r="D481" s="64">
        <v>1095</v>
      </c>
      <c r="E481" s="64"/>
      <c r="F481" s="64">
        <v>1095</v>
      </c>
      <c r="G481" s="27"/>
      <c r="H481" s="23"/>
    </row>
    <row r="482" spans="1:8" ht="12.75">
      <c r="A482" s="10"/>
      <c r="B482" s="17" t="s">
        <v>1521</v>
      </c>
      <c r="C482" s="17"/>
      <c r="D482" s="64">
        <v>8834</v>
      </c>
      <c r="E482" s="64"/>
      <c r="F482" s="64"/>
      <c r="G482" s="27"/>
      <c r="H482" s="23">
        <v>8834</v>
      </c>
    </row>
    <row r="483" spans="1:8" ht="12.75">
      <c r="A483" s="10"/>
      <c r="B483" s="17" t="s">
        <v>1522</v>
      </c>
      <c r="C483" s="17"/>
      <c r="D483" s="64">
        <v>20371</v>
      </c>
      <c r="E483" s="64"/>
      <c r="F483" s="64"/>
      <c r="G483" s="27"/>
      <c r="H483" s="23">
        <v>20371</v>
      </c>
    </row>
    <row r="484" spans="1:8" ht="13.5" thickBot="1">
      <c r="A484" s="10"/>
      <c r="B484" s="17"/>
      <c r="C484" s="17"/>
      <c r="D484" s="83"/>
      <c r="E484" s="83"/>
      <c r="F484" s="83"/>
      <c r="G484" s="27"/>
      <c r="H484" s="26"/>
    </row>
    <row r="485" spans="1:8" ht="13.5" thickBot="1">
      <c r="A485" s="10"/>
      <c r="B485" s="16" t="s">
        <v>1523</v>
      </c>
      <c r="C485" s="16"/>
      <c r="D485" s="84">
        <v>35313</v>
      </c>
      <c r="E485" s="84"/>
      <c r="F485" s="84">
        <v>6108</v>
      </c>
      <c r="G485" s="41"/>
      <c r="H485" s="32">
        <v>29205</v>
      </c>
    </row>
    <row r="486" spans="1:8" ht="13.5" thickTop="1">
      <c r="A486" s="10"/>
      <c r="B486" s="16"/>
      <c r="C486" s="16"/>
      <c r="D486" s="52"/>
      <c r="E486" s="52"/>
      <c r="F486" s="52"/>
      <c r="G486" s="41"/>
      <c r="H486" s="41"/>
    </row>
    <row r="487" spans="1:8" ht="12.75">
      <c r="A487" s="10"/>
      <c r="B487" s="16" t="s">
        <v>1524</v>
      </c>
      <c r="C487" s="16"/>
      <c r="D487" s="64"/>
      <c r="E487" s="64"/>
      <c r="F487" s="64"/>
      <c r="G487" s="27"/>
      <c r="H487" s="23"/>
    </row>
    <row r="488" spans="1:8" ht="12.75">
      <c r="A488" s="10"/>
      <c r="B488" s="17" t="s">
        <v>1525</v>
      </c>
      <c r="C488" s="17"/>
      <c r="D488" s="64">
        <v>1026</v>
      </c>
      <c r="E488" s="64"/>
      <c r="F488" s="64"/>
      <c r="G488" s="27"/>
      <c r="H488" s="23">
        <v>1026</v>
      </c>
    </row>
    <row r="489" spans="1:8" ht="12.75">
      <c r="A489" s="10"/>
      <c r="B489" s="17" t="s">
        <v>1526</v>
      </c>
      <c r="C489" s="17"/>
      <c r="D489" s="64">
        <v>2831</v>
      </c>
      <c r="E489" s="64"/>
      <c r="F489" s="64"/>
      <c r="G489" s="27"/>
      <c r="H489" s="23">
        <v>2831</v>
      </c>
    </row>
    <row r="490" spans="1:8" ht="12.75">
      <c r="A490" s="10"/>
      <c r="B490" s="17" t="s">
        <v>1527</v>
      </c>
      <c r="C490" s="17"/>
      <c r="D490" s="64">
        <v>1344</v>
      </c>
      <c r="E490" s="64"/>
      <c r="F490" s="64"/>
      <c r="G490" s="27"/>
      <c r="H490" s="23">
        <v>1344</v>
      </c>
    </row>
    <row r="491" spans="1:8" ht="12.75">
      <c r="A491" s="10"/>
      <c r="B491" s="17" t="s">
        <v>1519</v>
      </c>
      <c r="C491" s="17"/>
      <c r="D491" s="64">
        <v>2739</v>
      </c>
      <c r="E491" s="64"/>
      <c r="F491" s="64"/>
      <c r="G491" s="27"/>
      <c r="H491" s="23">
        <v>2739</v>
      </c>
    </row>
    <row r="492" spans="1:8" ht="12.75">
      <c r="A492" s="10"/>
      <c r="B492" s="17" t="s">
        <v>1528</v>
      </c>
      <c r="C492" s="17"/>
      <c r="D492" s="64">
        <v>909</v>
      </c>
      <c r="E492" s="64"/>
      <c r="F492" s="64">
        <v>909</v>
      </c>
      <c r="G492" s="27"/>
      <c r="H492" s="23"/>
    </row>
    <row r="493" spans="1:8" ht="12.75">
      <c r="A493" s="10"/>
      <c r="B493" s="17" t="s">
        <v>1522</v>
      </c>
      <c r="C493" s="17"/>
      <c r="D493" s="64">
        <v>7021</v>
      </c>
      <c r="E493" s="64"/>
      <c r="F493" s="64"/>
      <c r="G493" s="27"/>
      <c r="H493" s="23">
        <v>7021</v>
      </c>
    </row>
    <row r="494" spans="1:8" ht="12.75">
      <c r="A494" s="10"/>
      <c r="B494" s="17" t="s">
        <v>1529</v>
      </c>
      <c r="C494" s="17"/>
      <c r="D494" s="64">
        <v>205</v>
      </c>
      <c r="E494" s="64"/>
      <c r="F494" s="64">
        <v>205</v>
      </c>
      <c r="G494" s="27"/>
      <c r="H494" s="23"/>
    </row>
    <row r="495" spans="1:8" ht="12.75">
      <c r="A495" s="10"/>
      <c r="B495" s="17" t="s">
        <v>1530</v>
      </c>
      <c r="C495" s="17"/>
      <c r="D495" s="64">
        <v>934</v>
      </c>
      <c r="E495" s="64"/>
      <c r="F495" s="64">
        <v>934</v>
      </c>
      <c r="G495" s="27"/>
      <c r="H495" s="23"/>
    </row>
    <row r="496" spans="1:8" ht="12.75">
      <c r="A496" s="10"/>
      <c r="B496" s="17" t="s">
        <v>1531</v>
      </c>
      <c r="C496" s="17"/>
      <c r="D496" s="64">
        <v>2897</v>
      </c>
      <c r="E496" s="64"/>
      <c r="F496" s="64"/>
      <c r="G496" s="27"/>
      <c r="H496" s="23">
        <v>2897</v>
      </c>
    </row>
    <row r="497" spans="1:8" ht="12.75">
      <c r="A497" s="10"/>
      <c r="B497" s="17" t="s">
        <v>1532</v>
      </c>
      <c r="C497" s="17"/>
      <c r="D497" s="64">
        <v>5786</v>
      </c>
      <c r="E497" s="64"/>
      <c r="F497" s="64"/>
      <c r="G497" s="27"/>
      <c r="H497" s="23">
        <v>5786</v>
      </c>
    </row>
    <row r="498" spans="1:8" ht="12.75">
      <c r="A498" s="10"/>
      <c r="B498" s="17" t="s">
        <v>1533</v>
      </c>
      <c r="C498" s="17"/>
      <c r="D498" s="64">
        <v>593</v>
      </c>
      <c r="E498" s="64"/>
      <c r="F498" s="64">
        <v>593</v>
      </c>
      <c r="G498" s="27"/>
      <c r="H498" s="23"/>
    </row>
    <row r="499" spans="1:8" ht="12.75">
      <c r="A499" s="10"/>
      <c r="B499" s="17" t="s">
        <v>1534</v>
      </c>
      <c r="C499" s="17"/>
      <c r="D499" s="64">
        <v>3522</v>
      </c>
      <c r="E499" s="64"/>
      <c r="F499" s="64"/>
      <c r="G499" s="27"/>
      <c r="H499" s="23">
        <v>3522</v>
      </c>
    </row>
    <row r="500" spans="1:8" ht="12.75">
      <c r="A500" s="10"/>
      <c r="B500" s="17" t="s">
        <v>1535</v>
      </c>
      <c r="C500" s="17"/>
      <c r="D500" s="64">
        <v>1473</v>
      </c>
      <c r="E500" s="64"/>
      <c r="F500" s="64"/>
      <c r="G500" s="27"/>
      <c r="H500" s="23">
        <v>1473</v>
      </c>
    </row>
    <row r="501" spans="1:8" ht="12.75">
      <c r="A501" s="10"/>
      <c r="B501" s="17" t="s">
        <v>1536</v>
      </c>
      <c r="C501" s="17"/>
      <c r="D501" s="64">
        <v>2371</v>
      </c>
      <c r="E501" s="64"/>
      <c r="F501" s="64"/>
      <c r="G501" s="27"/>
      <c r="H501" s="23">
        <v>2371</v>
      </c>
    </row>
    <row r="502" spans="1:8" ht="12.75">
      <c r="A502" s="10"/>
      <c r="B502" s="17" t="s">
        <v>1537</v>
      </c>
      <c r="C502" s="17"/>
      <c r="D502" s="64">
        <v>374</v>
      </c>
      <c r="E502" s="64"/>
      <c r="F502" s="64"/>
      <c r="G502" s="27"/>
      <c r="H502" s="23">
        <v>374</v>
      </c>
    </row>
    <row r="503" spans="1:8" ht="12.75">
      <c r="A503" s="10"/>
      <c r="B503" s="17" t="s">
        <v>1538</v>
      </c>
      <c r="C503" s="17"/>
      <c r="D503" s="64">
        <v>2584</v>
      </c>
      <c r="E503" s="64"/>
      <c r="F503" s="64"/>
      <c r="G503" s="27"/>
      <c r="H503" s="23">
        <v>2584</v>
      </c>
    </row>
    <row r="504" spans="1:8" ht="12.75">
      <c r="A504" s="10"/>
      <c r="B504" s="17" t="s">
        <v>1539</v>
      </c>
      <c r="C504" s="17"/>
      <c r="D504" s="64">
        <v>3494</v>
      </c>
      <c r="E504" s="64"/>
      <c r="F504" s="64"/>
      <c r="G504" s="27"/>
      <c r="H504" s="23">
        <v>3494</v>
      </c>
    </row>
    <row r="505" spans="1:8" ht="13.5" thickBot="1">
      <c r="A505" s="10"/>
      <c r="B505" s="17" t="s">
        <v>1540</v>
      </c>
      <c r="C505" s="17"/>
      <c r="D505" s="83">
        <v>477</v>
      </c>
      <c r="E505" s="88"/>
      <c r="F505" s="83"/>
      <c r="G505" s="27"/>
      <c r="H505" s="26">
        <v>477</v>
      </c>
    </row>
    <row r="506" spans="1:8" ht="13.5" thickBot="1">
      <c r="A506" s="10"/>
      <c r="B506" s="16" t="s">
        <v>1523</v>
      </c>
      <c r="C506" s="16"/>
      <c r="D506" s="112">
        <v>40580</v>
      </c>
      <c r="E506" s="112"/>
      <c r="F506" s="112">
        <v>2641</v>
      </c>
      <c r="G506" s="41"/>
      <c r="H506" s="32">
        <v>37939</v>
      </c>
    </row>
    <row r="507" spans="1:8" ht="13.5" thickTop="1">
      <c r="A507" s="1293" t="s">
        <v>1541</v>
      </c>
      <c r="B507" s="1293"/>
      <c r="C507" s="1293"/>
      <c r="D507" s="1293"/>
      <c r="E507" s="1293"/>
      <c r="F507" s="1293"/>
      <c r="G507" s="1293"/>
      <c r="H507" s="1293"/>
    </row>
    <row r="508" spans="1:8" ht="12.75">
      <c r="A508" s="10"/>
      <c r="B508" s="17"/>
      <c r="C508" s="17"/>
      <c r="D508" s="11"/>
      <c r="E508" s="11"/>
      <c r="F508" s="11"/>
      <c r="G508" s="8"/>
      <c r="H508" s="8"/>
    </row>
    <row r="509" spans="1:8" ht="12.75">
      <c r="A509" s="10">
        <v>26</v>
      </c>
      <c r="B509" s="1298" t="s">
        <v>1542</v>
      </c>
      <c r="C509" s="1298"/>
      <c r="D509" s="1298"/>
      <c r="E509" s="70"/>
      <c r="F509" s="70"/>
      <c r="G509" s="10"/>
      <c r="H509" s="10"/>
    </row>
    <row r="510" spans="1:8" ht="12.75">
      <c r="A510" s="8"/>
      <c r="B510" s="1269"/>
      <c r="C510" s="1269"/>
      <c r="D510" s="1269"/>
      <c r="E510" s="11"/>
      <c r="F510" s="11"/>
      <c r="G510" s="8"/>
      <c r="H510" s="8"/>
    </row>
    <row r="511" spans="1:8" ht="12.75">
      <c r="A511" s="8"/>
      <c r="B511" s="1269" t="s">
        <v>1543</v>
      </c>
      <c r="C511" s="1269"/>
      <c r="D511" s="1269"/>
      <c r="E511" s="11"/>
      <c r="F511" s="11"/>
      <c r="G511" s="8"/>
      <c r="H511" s="8"/>
    </row>
    <row r="512" spans="1:8" ht="13.5" thickBot="1">
      <c r="A512" s="8"/>
      <c r="B512" s="1269" t="s">
        <v>1544</v>
      </c>
      <c r="C512" s="1269"/>
      <c r="D512" s="1269"/>
      <c r="E512" s="11"/>
      <c r="F512" s="88">
        <v>66455298</v>
      </c>
      <c r="G512" s="8"/>
      <c r="H512" s="88">
        <v>84942711</v>
      </c>
    </row>
    <row r="513" spans="1:8" ht="12.75">
      <c r="A513" s="8"/>
      <c r="B513" s="1303" t="s">
        <v>1109</v>
      </c>
      <c r="C513" s="1303"/>
      <c r="D513" s="1303"/>
      <c r="E513" s="11"/>
      <c r="F513" s="113">
        <v>56356480</v>
      </c>
      <c r="G513" s="114"/>
      <c r="H513" s="115">
        <v>44447114</v>
      </c>
    </row>
    <row r="514" spans="1:8" ht="12.75">
      <c r="A514" s="8"/>
      <c r="B514" s="1303" t="s">
        <v>1545</v>
      </c>
      <c r="C514" s="1303"/>
      <c r="D514" s="1303"/>
      <c r="E514" s="11"/>
      <c r="F514" s="116">
        <v>3355033</v>
      </c>
      <c r="G514" s="58"/>
      <c r="H514" s="47">
        <v>13156514</v>
      </c>
    </row>
    <row r="515" spans="1:8" ht="12.75">
      <c r="A515" s="8"/>
      <c r="B515" s="1303" t="s">
        <v>1546</v>
      </c>
      <c r="C515" s="1303"/>
      <c r="D515" s="1303"/>
      <c r="E515" s="11"/>
      <c r="F515" s="116">
        <v>0</v>
      </c>
      <c r="G515" s="58"/>
      <c r="H515" s="47"/>
    </row>
    <row r="516" spans="1:8" ht="13.5" thickBot="1">
      <c r="A516" s="8"/>
      <c r="B516" s="1303" t="s">
        <v>1133</v>
      </c>
      <c r="C516" s="1303"/>
      <c r="D516" s="1303"/>
      <c r="E516" s="11"/>
      <c r="F516" s="117">
        <v>6743785</v>
      </c>
      <c r="G516" s="43"/>
      <c r="H516" s="49">
        <v>27339083</v>
      </c>
    </row>
    <row r="517" spans="1:8" ht="12.75">
      <c r="A517" s="8"/>
      <c r="B517" s="1269"/>
      <c r="C517" s="1269"/>
      <c r="D517" s="1269"/>
      <c r="E517" s="11"/>
      <c r="F517" s="11"/>
      <c r="G517" s="8"/>
      <c r="H517" s="8"/>
    </row>
    <row r="518" spans="1:8" ht="13.5" thickBot="1">
      <c r="A518" s="8"/>
      <c r="B518" s="1269" t="s">
        <v>1547</v>
      </c>
      <c r="C518" s="1269"/>
      <c r="D518" s="1269"/>
      <c r="E518" s="11"/>
      <c r="F518" s="66"/>
      <c r="G518" s="8"/>
      <c r="H518" s="118"/>
    </row>
    <row r="519" spans="1:8" ht="12.75">
      <c r="A519" s="8"/>
      <c r="B519" s="1303" t="s">
        <v>1109</v>
      </c>
      <c r="C519" s="1303"/>
      <c r="D519" s="1303"/>
      <c r="E519" s="11"/>
      <c r="F519" s="119"/>
      <c r="G519" s="120"/>
      <c r="H519" s="121"/>
    </row>
    <row r="520" spans="1:8" ht="12.75">
      <c r="A520" s="8"/>
      <c r="B520" s="1303" t="s">
        <v>1545</v>
      </c>
      <c r="C520" s="1303"/>
      <c r="D520" s="1303"/>
      <c r="E520" s="11"/>
      <c r="F520" s="122"/>
      <c r="G520" s="105"/>
      <c r="H520" s="123"/>
    </row>
    <row r="521" spans="1:8" ht="12.75">
      <c r="A521" s="8"/>
      <c r="B521" s="1303" t="s">
        <v>1546</v>
      </c>
      <c r="C521" s="1303"/>
      <c r="D521" s="1303"/>
      <c r="E521" s="11"/>
      <c r="F521" s="122"/>
      <c r="G521" s="105"/>
      <c r="H521" s="123"/>
    </row>
    <row r="522" spans="1:8" ht="13.5" thickBot="1">
      <c r="A522" s="8"/>
      <c r="B522" s="1303" t="s">
        <v>1133</v>
      </c>
      <c r="C522" s="1303"/>
      <c r="D522" s="1303"/>
      <c r="E522" s="11"/>
      <c r="F522" s="124"/>
      <c r="G522" s="9"/>
      <c r="H522" s="125"/>
    </row>
    <row r="523" spans="1:8" ht="13.5" thickBot="1">
      <c r="A523" s="8"/>
      <c r="B523" s="1269"/>
      <c r="C523" s="1269"/>
      <c r="D523" s="1269"/>
      <c r="E523" s="11"/>
      <c r="F523" s="95"/>
      <c r="G523" s="8"/>
      <c r="H523" s="9"/>
    </row>
    <row r="524" spans="1:8" ht="13.5" thickBot="1">
      <c r="A524" s="8"/>
      <c r="B524" s="1298" t="s">
        <v>1178</v>
      </c>
      <c r="C524" s="1298"/>
      <c r="D524" s="1298"/>
      <c r="E524" s="11"/>
      <c r="F524" s="84">
        <v>66455298</v>
      </c>
      <c r="G524" s="8"/>
      <c r="H524" s="32">
        <v>84942711</v>
      </c>
    </row>
    <row r="525" spans="1:8" ht="13.5" thickTop="1">
      <c r="A525" s="8"/>
      <c r="B525" s="1269"/>
      <c r="C525" s="1269"/>
      <c r="D525" s="1269"/>
      <c r="E525" s="11"/>
      <c r="F525" s="11"/>
      <c r="G525" s="8"/>
      <c r="H525" s="8"/>
    </row>
    <row r="526" spans="1:8" ht="12.75">
      <c r="A526" s="8"/>
      <c r="B526" s="1269"/>
      <c r="C526" s="1269"/>
      <c r="D526" s="1269"/>
      <c r="E526" s="11"/>
      <c r="F526" s="11"/>
      <c r="G526" s="8"/>
      <c r="H526" s="8"/>
    </row>
    <row r="527" spans="1:8" ht="12.75">
      <c r="A527" s="8"/>
      <c r="B527" s="1269" t="s">
        <v>1548</v>
      </c>
      <c r="C527" s="1269"/>
      <c r="D527" s="1269"/>
      <c r="E527" s="11"/>
      <c r="F527" s="11"/>
      <c r="G527" s="8"/>
      <c r="H527" s="8"/>
    </row>
    <row r="528" spans="1:8" ht="12.75">
      <c r="A528" s="8"/>
      <c r="B528" s="1269"/>
      <c r="C528" s="1269"/>
      <c r="D528" s="1269"/>
      <c r="E528" s="11"/>
      <c r="F528" s="11"/>
      <c r="G528" s="8"/>
      <c r="H528" s="8"/>
    </row>
    <row r="529" spans="1:8" ht="12.75">
      <c r="A529" s="8"/>
      <c r="B529" s="1269" t="s">
        <v>1549</v>
      </c>
      <c r="C529" s="1269"/>
      <c r="D529" s="1269"/>
      <c r="E529" s="11"/>
      <c r="F529" s="64">
        <v>20012549</v>
      </c>
      <c r="G529" s="27"/>
      <c r="H529" s="23">
        <v>38098569</v>
      </c>
    </row>
    <row r="530" spans="1:8" ht="12.75">
      <c r="A530" s="8"/>
      <c r="B530" s="1269" t="s">
        <v>1550</v>
      </c>
      <c r="C530" s="1269"/>
      <c r="D530" s="1269"/>
      <c r="E530" s="11"/>
      <c r="F530" s="64">
        <v>45663981</v>
      </c>
      <c r="G530" s="27"/>
      <c r="H530" s="23">
        <v>40903727</v>
      </c>
    </row>
    <row r="531" spans="1:8" ht="12.75">
      <c r="A531" s="8"/>
      <c r="B531" s="1269" t="s">
        <v>1551</v>
      </c>
      <c r="C531" s="1269"/>
      <c r="D531" s="1269"/>
      <c r="E531" s="11"/>
      <c r="F531" s="64">
        <v>678361</v>
      </c>
      <c r="G531" s="27"/>
      <c r="H531" s="23">
        <v>5218291</v>
      </c>
    </row>
    <row r="532" spans="1:8" ht="13.5" thickBot="1">
      <c r="A532" s="8"/>
      <c r="B532" s="1269" t="s">
        <v>1552</v>
      </c>
      <c r="C532" s="1269"/>
      <c r="D532" s="1269"/>
      <c r="E532" s="11"/>
      <c r="F532" s="83">
        <v>100407</v>
      </c>
      <c r="G532" s="27"/>
      <c r="H532" s="26">
        <v>722124</v>
      </c>
    </row>
    <row r="533" spans="1:8" ht="13.5" thickBot="1">
      <c r="A533" s="8"/>
      <c r="B533" s="1269"/>
      <c r="C533" s="1269"/>
      <c r="D533" s="1269"/>
      <c r="E533" s="11"/>
      <c r="F533" s="84">
        <v>66455298</v>
      </c>
      <c r="G533" s="27"/>
      <c r="H533" s="32">
        <v>84942711</v>
      </c>
    </row>
    <row r="534" spans="1:8" ht="13.5" thickTop="1">
      <c r="A534" s="8"/>
      <c r="B534" s="1269"/>
      <c r="C534" s="1269"/>
      <c r="D534" s="1269"/>
      <c r="E534" s="11"/>
      <c r="F534" s="64"/>
      <c r="G534" s="27"/>
      <c r="H534" s="27"/>
    </row>
    <row r="535" spans="1:8" ht="12.75">
      <c r="A535" s="10">
        <v>27</v>
      </c>
      <c r="B535" s="16" t="s">
        <v>1553</v>
      </c>
      <c r="C535" s="17"/>
      <c r="D535" s="17"/>
      <c r="E535" s="11"/>
      <c r="F535" s="64"/>
      <c r="G535" s="27"/>
      <c r="H535" s="27"/>
    </row>
    <row r="536" spans="1:8" ht="12.75">
      <c r="A536" s="8"/>
      <c r="B536" s="17"/>
      <c r="C536" s="17"/>
      <c r="D536" s="17"/>
      <c r="E536" s="11"/>
      <c r="F536" s="64"/>
      <c r="G536" s="27"/>
      <c r="H536" s="27"/>
    </row>
    <row r="537" spans="1:8" ht="12.75">
      <c r="A537" s="8"/>
      <c r="B537" s="17" t="s">
        <v>1554</v>
      </c>
      <c r="C537" s="17"/>
      <c r="D537" s="17"/>
      <c r="E537" s="11"/>
      <c r="F537" s="64"/>
      <c r="G537" s="27"/>
      <c r="H537" s="27"/>
    </row>
    <row r="538" spans="1:8" ht="12.75">
      <c r="A538" s="8"/>
      <c r="B538" s="17" t="s">
        <v>1555</v>
      </c>
      <c r="C538" s="17"/>
      <c r="D538" s="17"/>
      <c r="E538" s="11"/>
      <c r="F538" s="64">
        <v>313985</v>
      </c>
      <c r="G538" s="27"/>
      <c r="H538" s="64">
        <v>313985</v>
      </c>
    </row>
    <row r="539" spans="1:8" ht="12.75">
      <c r="A539" s="8"/>
      <c r="B539" s="17" t="s">
        <v>1556</v>
      </c>
      <c r="C539" s="17"/>
      <c r="D539" s="17"/>
      <c r="E539" s="11"/>
      <c r="F539" s="64">
        <v>19272</v>
      </c>
      <c r="G539" s="27"/>
      <c r="H539" s="64">
        <v>19272</v>
      </c>
    </row>
    <row r="540" spans="1:8" ht="12.75">
      <c r="A540" s="8"/>
      <c r="B540" s="17" t="s">
        <v>1557</v>
      </c>
      <c r="C540" s="17"/>
      <c r="D540" s="17"/>
      <c r="E540" s="11"/>
      <c r="F540" s="64">
        <v>2676617</v>
      </c>
      <c r="G540" s="27"/>
      <c r="H540" s="64">
        <v>2676617</v>
      </c>
    </row>
    <row r="541" spans="1:8" ht="12.75">
      <c r="A541" s="8"/>
      <c r="B541" s="17" t="s">
        <v>1558</v>
      </c>
      <c r="C541" s="17"/>
      <c r="D541" s="17"/>
      <c r="E541" s="11"/>
      <c r="F541" s="64">
        <v>-352130</v>
      </c>
      <c r="G541" s="27"/>
      <c r="H541" s="64">
        <v>-352130</v>
      </c>
    </row>
    <row r="542" spans="1:8" ht="13.5" thickBot="1">
      <c r="A542" s="8"/>
      <c r="B542" s="17" t="s">
        <v>1559</v>
      </c>
      <c r="C542" s="17"/>
      <c r="D542" s="17"/>
      <c r="E542" s="11"/>
      <c r="F542" s="83">
        <v>-655521</v>
      </c>
      <c r="G542" s="27"/>
      <c r="H542" s="83">
        <v>-655521</v>
      </c>
    </row>
    <row r="543" spans="1:8" ht="13.5" thickBot="1">
      <c r="A543" s="8"/>
      <c r="B543" s="17"/>
      <c r="C543" s="17"/>
      <c r="D543" s="17"/>
      <c r="E543" s="11"/>
      <c r="F543" s="84">
        <v>2002223</v>
      </c>
      <c r="G543" s="27"/>
      <c r="H543" s="84">
        <v>2002223</v>
      </c>
    </row>
    <row r="544" spans="1:8" ht="13.5" thickTop="1">
      <c r="A544" s="8"/>
      <c r="B544" s="17"/>
      <c r="C544" s="17"/>
      <c r="D544" s="17"/>
      <c r="E544" s="11"/>
      <c r="F544" s="64"/>
      <c r="G544" s="27"/>
      <c r="H544" s="27"/>
    </row>
    <row r="545" spans="1:8" ht="12.75">
      <c r="A545" s="8"/>
      <c r="B545" s="17"/>
      <c r="C545" s="17"/>
      <c r="D545" s="17"/>
      <c r="E545" s="11"/>
      <c r="F545" s="64"/>
      <c r="G545" s="27"/>
      <c r="H545" s="27"/>
    </row>
    <row r="546" spans="1:8" ht="12.75">
      <c r="A546" s="10">
        <v>28</v>
      </c>
      <c r="B546" s="1298" t="s">
        <v>1560</v>
      </c>
      <c r="C546" s="1298"/>
      <c r="D546" s="1298"/>
      <c r="E546" s="70"/>
      <c r="F546" s="70"/>
      <c r="G546" s="10"/>
      <c r="H546" s="10"/>
    </row>
    <row r="547" spans="1:8" ht="12.75">
      <c r="A547" s="8"/>
      <c r="B547" s="1269"/>
      <c r="C547" s="1269"/>
      <c r="D547" s="1269"/>
      <c r="E547" s="11"/>
      <c r="F547" s="11"/>
      <c r="G547" s="8"/>
      <c r="H547" s="8"/>
    </row>
    <row r="548" spans="1:8" ht="12.75">
      <c r="A548" s="1297"/>
      <c r="B548" s="1264" t="s">
        <v>1561</v>
      </c>
      <c r="C548" s="1264"/>
      <c r="D548" s="1264"/>
      <c r="E548" s="17"/>
      <c r="F548" s="17"/>
      <c r="G548" s="1297"/>
      <c r="H548" s="11"/>
    </row>
    <row r="549" spans="1:8" ht="12.75">
      <c r="A549" s="1297"/>
      <c r="B549" s="17"/>
      <c r="C549" s="17"/>
      <c r="D549" s="17"/>
      <c r="E549" s="17"/>
      <c r="F549" s="17"/>
      <c r="G549" s="1297"/>
      <c r="H549" s="11"/>
    </row>
    <row r="550" spans="1:8" ht="12.75">
      <c r="A550" s="1297"/>
      <c r="B550" s="1264" t="s">
        <v>1562</v>
      </c>
      <c r="C550" s="1264"/>
      <c r="D550" s="1264"/>
      <c r="E550" s="17"/>
      <c r="F550" s="17"/>
      <c r="G550" s="1297"/>
      <c r="H550" s="11"/>
    </row>
    <row r="551" spans="1:8" ht="12.75">
      <c r="A551" s="1297"/>
      <c r="B551" s="17"/>
      <c r="C551" s="17"/>
      <c r="D551" s="17"/>
      <c r="E551" s="17"/>
      <c r="F551" s="17"/>
      <c r="G551" s="1297"/>
      <c r="H551" s="11"/>
    </row>
    <row r="552" spans="1:8" ht="12.75">
      <c r="A552" s="10"/>
      <c r="B552" s="1298"/>
      <c r="C552" s="1298"/>
      <c r="D552" s="1298"/>
      <c r="E552" s="11"/>
      <c r="F552" s="11"/>
      <c r="G552" s="8"/>
      <c r="H552" s="8"/>
    </row>
    <row r="553" spans="1:8" ht="12.75">
      <c r="A553" s="10">
        <v>29</v>
      </c>
      <c r="B553" s="1298" t="s">
        <v>1563</v>
      </c>
      <c r="C553" s="1298"/>
      <c r="D553" s="1298"/>
      <c r="E553" s="11"/>
      <c r="F553" s="11"/>
      <c r="G553" s="8"/>
      <c r="H553" s="8"/>
    </row>
    <row r="554" spans="1:8" ht="12.75">
      <c r="A554" s="8"/>
      <c r="B554" s="1269"/>
      <c r="C554" s="1269"/>
      <c r="D554" s="1269"/>
      <c r="E554" s="11"/>
      <c r="F554" s="11"/>
      <c r="G554" s="8"/>
      <c r="H554" s="11"/>
    </row>
    <row r="555" spans="1:8" ht="12.75">
      <c r="A555" s="8"/>
      <c r="B555" s="22" t="s">
        <v>1565</v>
      </c>
      <c r="C555" s="8"/>
      <c r="D555" s="8"/>
      <c r="E555" s="8"/>
      <c r="F555" s="27">
        <v>10005106</v>
      </c>
      <c r="G555" s="27"/>
      <c r="H555" s="27">
        <v>10005106</v>
      </c>
    </row>
    <row r="556" spans="1:8" ht="12.75">
      <c r="A556" s="8"/>
      <c r="B556" s="22" t="s">
        <v>1566</v>
      </c>
      <c r="C556" s="8"/>
      <c r="D556" s="8"/>
      <c r="E556" s="8"/>
      <c r="F556" s="27">
        <v>434960</v>
      </c>
      <c r="G556" s="27"/>
      <c r="H556" s="27">
        <v>434960</v>
      </c>
    </row>
    <row r="557" spans="1:8" ht="12.75">
      <c r="A557" s="8"/>
      <c r="B557" s="1269"/>
      <c r="C557" s="1269"/>
      <c r="D557" s="1269"/>
      <c r="E557" s="11"/>
      <c r="F557" s="11"/>
      <c r="G557" s="8"/>
      <c r="H557" s="11"/>
    </row>
    <row r="558" spans="1:8" ht="13.5" thickBot="1">
      <c r="A558" s="8"/>
      <c r="B558" s="1269"/>
      <c r="C558" s="1269"/>
      <c r="D558" s="1269"/>
      <c r="E558" s="11"/>
      <c r="F558" s="95"/>
      <c r="G558" s="8"/>
      <c r="H558" s="95"/>
    </row>
    <row r="559" spans="1:8" ht="13.5" thickBot="1">
      <c r="A559" s="8"/>
      <c r="B559" s="1269"/>
      <c r="C559" s="1269"/>
      <c r="D559" s="1269"/>
      <c r="E559" s="11"/>
      <c r="F559" s="97">
        <v>10440066</v>
      </c>
      <c r="G559" s="8"/>
      <c r="H559" s="97">
        <v>10440066</v>
      </c>
    </row>
    <row r="560" spans="1:8" ht="13.5" thickTop="1">
      <c r="A560" s="16">
        <v>30</v>
      </c>
      <c r="B560" s="42" t="s">
        <v>1567</v>
      </c>
      <c r="C560" s="17"/>
      <c r="D560" s="1269"/>
      <c r="E560" s="1269"/>
      <c r="F560" s="17"/>
      <c r="G560" s="17"/>
      <c r="H560" s="17"/>
    </row>
    <row r="561" spans="1:8" ht="12.75">
      <c r="A561" s="17"/>
      <c r="B561" s="38"/>
      <c r="C561" s="17"/>
      <c r="D561" s="1269"/>
      <c r="E561" s="1269"/>
      <c r="F561" s="17"/>
      <c r="G561" s="17"/>
      <c r="H561" s="17"/>
    </row>
    <row r="562" spans="1:8" ht="12.75">
      <c r="A562" s="17"/>
      <c r="B562" s="1269" t="s">
        <v>1568</v>
      </c>
      <c r="C562" s="1269"/>
      <c r="D562" s="1269"/>
      <c r="E562" s="1269"/>
      <c r="F562" s="17"/>
      <c r="G562" s="17"/>
      <c r="H562" s="17"/>
    </row>
    <row r="563" spans="1:8" ht="12.75">
      <c r="A563" s="8"/>
      <c r="B563" s="1269"/>
      <c r="C563" s="1269"/>
      <c r="D563" s="1269"/>
      <c r="E563" s="1269"/>
      <c r="F563" s="1269"/>
      <c r="G563" s="8"/>
      <c r="H563" s="8"/>
    </row>
    <row r="566" spans="1:8" ht="12.75">
      <c r="A566" s="1293" t="s">
        <v>1569</v>
      </c>
      <c r="B566" s="1293"/>
      <c r="C566" s="1293"/>
      <c r="D566" s="1293"/>
      <c r="E566" s="1293"/>
      <c r="F566" s="1293"/>
      <c r="G566" s="1293"/>
      <c r="H566" s="1293"/>
    </row>
    <row r="568" spans="1:8" ht="12.75">
      <c r="A568" s="12">
        <v>31</v>
      </c>
      <c r="B568" s="1304" t="s">
        <v>1570</v>
      </c>
      <c r="C568" s="1304"/>
      <c r="D568" s="1304"/>
      <c r="E568" s="126"/>
      <c r="F568" s="25"/>
      <c r="G568" s="126"/>
      <c r="H568" s="25"/>
    </row>
    <row r="569" spans="1:8" ht="12.75">
      <c r="A569" s="8"/>
      <c r="B569" s="8"/>
      <c r="C569" s="127"/>
      <c r="D569" s="127"/>
      <c r="E569" s="126"/>
      <c r="F569" s="25"/>
      <c r="G569" s="126"/>
      <c r="H569" s="25"/>
    </row>
    <row r="570" spans="1:8" ht="12.75">
      <c r="A570" s="8"/>
      <c r="B570" s="1269" t="s">
        <v>1571</v>
      </c>
      <c r="C570" s="1269"/>
      <c r="D570" s="1269"/>
      <c r="E570" s="126"/>
      <c r="F570" s="12"/>
      <c r="G570" s="126"/>
      <c r="H570" s="12"/>
    </row>
    <row r="571" spans="1:8" ht="12.75">
      <c r="A571" s="10"/>
      <c r="B571" s="128"/>
      <c r="C571" s="10"/>
      <c r="D571" s="10"/>
      <c r="E571" s="10"/>
      <c r="F571" s="10"/>
      <c r="G571" s="10"/>
      <c r="H571" s="10"/>
    </row>
    <row r="572" spans="1:8" ht="12.75">
      <c r="A572" s="10"/>
      <c r="B572" s="10" t="s">
        <v>1572</v>
      </c>
      <c r="C572" s="10"/>
      <c r="D572" s="10"/>
      <c r="E572" s="10"/>
      <c r="F572" s="10"/>
      <c r="G572" s="10"/>
      <c r="H572" s="10"/>
    </row>
    <row r="573" spans="1:8" ht="12.75">
      <c r="A573" s="10"/>
      <c r="B573" s="129" t="s">
        <v>1573</v>
      </c>
      <c r="C573" s="10"/>
      <c r="D573" s="10"/>
      <c r="E573" s="10"/>
      <c r="F573" s="10"/>
      <c r="G573" s="10"/>
      <c r="H573" s="41"/>
    </row>
    <row r="574" spans="1:8" ht="12.75">
      <c r="A574" s="10"/>
      <c r="B574" s="130" t="s">
        <v>1574</v>
      </c>
      <c r="C574" s="10"/>
      <c r="D574" s="10"/>
      <c r="E574" s="10"/>
      <c r="F574" s="10"/>
      <c r="G574" s="10"/>
      <c r="H574" s="23">
        <v>115960275</v>
      </c>
    </row>
    <row r="575" spans="1:8" ht="12.75">
      <c r="A575" s="10"/>
      <c r="B575" s="130" t="s">
        <v>1575</v>
      </c>
      <c r="C575" s="10"/>
      <c r="D575" s="10"/>
      <c r="E575" s="10"/>
      <c r="F575" s="10"/>
      <c r="G575" s="10"/>
      <c r="H575" s="23">
        <v>68550615</v>
      </c>
    </row>
    <row r="576" spans="1:8" ht="13.5" thickBot="1">
      <c r="A576" s="10"/>
      <c r="B576" s="130" t="s">
        <v>1576</v>
      </c>
      <c r="C576" s="10"/>
      <c r="D576" s="10"/>
      <c r="E576" s="10"/>
      <c r="F576" s="10"/>
      <c r="G576" s="10"/>
      <c r="H576" s="26">
        <v>123939824</v>
      </c>
    </row>
    <row r="577" spans="1:8" ht="13.5" thickBot="1">
      <c r="A577" s="10"/>
      <c r="B577" s="131" t="s">
        <v>1178</v>
      </c>
      <c r="C577" s="10"/>
      <c r="D577" s="10"/>
      <c r="E577" s="10"/>
      <c r="F577" s="10"/>
      <c r="G577" s="10"/>
      <c r="H577" s="32">
        <v>308450714</v>
      </c>
    </row>
    <row r="578" spans="1:8" ht="13.5" thickTop="1">
      <c r="A578" s="10"/>
      <c r="B578" s="131"/>
      <c r="C578" s="10"/>
      <c r="D578" s="10"/>
      <c r="E578" s="10"/>
      <c r="F578" s="10"/>
      <c r="G578" s="10"/>
      <c r="H578" s="41"/>
    </row>
    <row r="579" ht="12.75">
      <c r="H579" s="1"/>
    </row>
    <row r="580" spans="2:8" ht="12.75">
      <c r="B580" s="129" t="s">
        <v>1577</v>
      </c>
      <c r="C580" s="8"/>
      <c r="D580" s="8"/>
      <c r="E580" s="8"/>
      <c r="F580" s="25"/>
      <c r="G580" s="8"/>
      <c r="H580" s="23"/>
    </row>
    <row r="581" spans="2:8" ht="12.75">
      <c r="B581" s="130" t="s">
        <v>1578</v>
      </c>
      <c r="C581" s="8"/>
      <c r="D581" s="8"/>
      <c r="E581" s="8"/>
      <c r="F581" s="25"/>
      <c r="G581" s="8"/>
      <c r="H581" s="23">
        <v>9812353</v>
      </c>
    </row>
    <row r="582" spans="2:8" ht="12.75">
      <c r="B582" s="130" t="s">
        <v>1579</v>
      </c>
      <c r="C582" s="8"/>
      <c r="D582" s="8"/>
      <c r="E582" s="8"/>
      <c r="F582" s="25"/>
      <c r="G582" s="8"/>
      <c r="H582" s="23">
        <v>107232502</v>
      </c>
    </row>
    <row r="583" spans="2:8" ht="12.75">
      <c r="B583" s="130" t="s">
        <v>1580</v>
      </c>
      <c r="C583" s="8"/>
      <c r="D583" s="8"/>
      <c r="E583" s="8"/>
      <c r="F583" s="25"/>
      <c r="G583" s="8"/>
      <c r="H583" s="23">
        <v>10261958</v>
      </c>
    </row>
    <row r="584" spans="2:8" ht="13.5" thickBot="1">
      <c r="B584" s="1305" t="s">
        <v>1581</v>
      </c>
      <c r="C584" s="1305"/>
      <c r="D584" s="1305"/>
      <c r="E584" s="8"/>
      <c r="F584" s="25"/>
      <c r="G584" s="8"/>
      <c r="H584" s="26">
        <v>181143901</v>
      </c>
    </row>
    <row r="585" spans="2:8" ht="13.5" thickBot="1">
      <c r="B585" s="131" t="s">
        <v>1178</v>
      </c>
      <c r="C585" s="10"/>
      <c r="D585" s="10"/>
      <c r="E585" s="10"/>
      <c r="F585" s="12"/>
      <c r="G585" s="10"/>
      <c r="H585" s="32">
        <v>308450714</v>
      </c>
    </row>
    <row r="586" spans="2:8" ht="13.5" thickTop="1">
      <c r="B586" s="8"/>
      <c r="C586" s="8"/>
      <c r="D586" s="8"/>
      <c r="E586" s="8"/>
      <c r="F586" s="25"/>
      <c r="G586" s="8"/>
      <c r="H586" s="23"/>
    </row>
    <row r="587" spans="2:8" ht="12.75">
      <c r="B587" s="8"/>
      <c r="C587" s="8"/>
      <c r="D587" s="8"/>
      <c r="E587" s="8"/>
      <c r="F587" s="25"/>
      <c r="G587" s="8"/>
      <c r="H587" s="23"/>
    </row>
    <row r="588" spans="2:8" ht="12.75">
      <c r="B588" s="10" t="s">
        <v>1582</v>
      </c>
      <c r="C588" s="8"/>
      <c r="D588" s="8"/>
      <c r="E588" s="8"/>
      <c r="F588" s="25"/>
      <c r="G588" s="8"/>
      <c r="H588" s="23"/>
    </row>
    <row r="589" spans="2:8" ht="12.75">
      <c r="B589" s="129" t="s">
        <v>1583</v>
      </c>
      <c r="C589" s="8"/>
      <c r="D589" s="8"/>
      <c r="E589" s="8"/>
      <c r="F589" s="25"/>
      <c r="G589" s="8"/>
      <c r="H589" s="23"/>
    </row>
    <row r="590" spans="2:8" ht="12.75">
      <c r="B590" s="130" t="s">
        <v>1584</v>
      </c>
      <c r="C590" s="8"/>
      <c r="D590" s="8"/>
      <c r="E590" s="8"/>
      <c r="F590" s="25"/>
      <c r="G590" s="8"/>
      <c r="H590" s="23">
        <v>4201702</v>
      </c>
    </row>
    <row r="591" spans="2:8" ht="12.75">
      <c r="B591" s="130" t="s">
        <v>1585</v>
      </c>
      <c r="C591" s="8"/>
      <c r="D591" s="8"/>
      <c r="E591" s="8"/>
      <c r="F591" s="25"/>
      <c r="G591" s="8"/>
      <c r="H591" s="23">
        <v>344311</v>
      </c>
    </row>
    <row r="592" spans="2:8" ht="12.75">
      <c r="B592" s="130" t="s">
        <v>1586</v>
      </c>
      <c r="C592" s="8"/>
      <c r="D592" s="8"/>
      <c r="E592" s="8"/>
      <c r="F592" s="25"/>
      <c r="G592" s="8"/>
      <c r="H592" s="23">
        <v>419111</v>
      </c>
    </row>
    <row r="593" spans="1:8" ht="12.75">
      <c r="A593" t="s">
        <v>1587</v>
      </c>
      <c r="B593" s="130" t="s">
        <v>1588</v>
      </c>
      <c r="C593" s="8"/>
      <c r="D593" s="8"/>
      <c r="E593" s="8"/>
      <c r="F593" s="25"/>
      <c r="G593" s="8"/>
      <c r="H593" s="23">
        <v>1394680</v>
      </c>
    </row>
    <row r="594" spans="2:8" ht="12.75">
      <c r="B594" s="130" t="s">
        <v>1589</v>
      </c>
      <c r="C594" s="8"/>
      <c r="D594" s="8"/>
      <c r="E594" s="8"/>
      <c r="F594" s="25"/>
      <c r="G594" s="8"/>
      <c r="H594" s="23">
        <v>1182948</v>
      </c>
    </row>
    <row r="595" spans="1:8" ht="12.75">
      <c r="A595" t="s">
        <v>1587</v>
      </c>
      <c r="B595" s="130" t="s">
        <v>1590</v>
      </c>
      <c r="C595" s="8"/>
      <c r="D595" s="8"/>
      <c r="E595" s="8"/>
      <c r="F595" s="25"/>
      <c r="G595" s="8"/>
      <c r="H595" s="23">
        <v>16385395</v>
      </c>
    </row>
    <row r="596" spans="2:8" ht="12.75">
      <c r="B596" s="130" t="s">
        <v>1591</v>
      </c>
      <c r="C596" s="8"/>
      <c r="D596" s="8"/>
      <c r="E596" s="8"/>
      <c r="F596" s="25"/>
      <c r="G596" s="8"/>
      <c r="H596" s="23">
        <v>4365680</v>
      </c>
    </row>
    <row r="597" spans="2:8" ht="12.75">
      <c r="B597" s="130" t="s">
        <v>1592</v>
      </c>
      <c r="C597" s="8"/>
      <c r="D597" s="8"/>
      <c r="E597" s="8"/>
      <c r="F597" s="25"/>
      <c r="G597" s="8"/>
      <c r="H597" s="23">
        <v>5808273</v>
      </c>
    </row>
    <row r="598" spans="2:8" ht="12.75">
      <c r="B598" s="130" t="s">
        <v>1593</v>
      </c>
      <c r="C598" s="8"/>
      <c r="D598" s="8"/>
      <c r="E598" s="8"/>
      <c r="F598" s="25"/>
      <c r="G598" s="8"/>
      <c r="H598" s="23">
        <v>9074884</v>
      </c>
    </row>
    <row r="599" spans="2:8" ht="13.5" thickBot="1">
      <c r="B599" s="130" t="s">
        <v>1594</v>
      </c>
      <c r="C599" s="8"/>
      <c r="D599" s="8"/>
      <c r="E599" s="8"/>
      <c r="F599" s="25"/>
      <c r="G599" s="8"/>
      <c r="H599" s="26">
        <v>582133</v>
      </c>
    </row>
    <row r="600" spans="2:8" ht="13.5" thickBot="1">
      <c r="B600" s="131" t="s">
        <v>1178</v>
      </c>
      <c r="C600" s="10"/>
      <c r="D600" s="10"/>
      <c r="E600" s="10"/>
      <c r="F600" s="12"/>
      <c r="G600" s="10"/>
      <c r="H600" s="32">
        <v>43759117</v>
      </c>
    </row>
    <row r="601" spans="2:8" ht="13.5" thickTop="1">
      <c r="B601" s="129" t="s">
        <v>1577</v>
      </c>
      <c r="C601" s="8"/>
      <c r="D601" s="8"/>
      <c r="E601" s="8"/>
      <c r="F601" s="25"/>
      <c r="G601" s="8"/>
      <c r="H601" s="23"/>
    </row>
    <row r="602" spans="2:8" ht="13.5" thickBot="1">
      <c r="B602" s="1305" t="s">
        <v>1581</v>
      </c>
      <c r="C602" s="1305"/>
      <c r="D602" s="1305"/>
      <c r="E602" s="8"/>
      <c r="F602" s="25"/>
      <c r="G602" s="8"/>
      <c r="H602" s="32">
        <v>43759117</v>
      </c>
    </row>
    <row r="603" spans="2:8" ht="13.5" thickTop="1">
      <c r="B603" s="8"/>
      <c r="C603" s="8"/>
      <c r="D603" s="8"/>
      <c r="E603" s="8"/>
      <c r="F603" s="25"/>
      <c r="G603" s="8"/>
      <c r="H603" s="23"/>
    </row>
    <row r="604" spans="2:8" ht="12.75">
      <c r="B604" s="10"/>
      <c r="C604" s="8"/>
      <c r="D604" s="8"/>
      <c r="E604" s="8"/>
      <c r="F604" s="25"/>
      <c r="G604" s="8"/>
      <c r="H604" s="51"/>
    </row>
    <row r="605" spans="2:8" ht="12.75">
      <c r="B605" s="10"/>
      <c r="C605" s="8"/>
      <c r="D605" s="8"/>
      <c r="E605" s="8"/>
      <c r="F605" s="25"/>
      <c r="G605" s="8"/>
      <c r="H605" s="51"/>
    </row>
    <row r="606" spans="2:8" ht="12.75">
      <c r="B606" s="10" t="s">
        <v>1595</v>
      </c>
      <c r="C606" s="8"/>
      <c r="D606" s="8"/>
      <c r="E606" s="8"/>
      <c r="F606" s="25"/>
      <c r="G606" s="8"/>
      <c r="H606" s="51"/>
    </row>
    <row r="607" spans="2:8" ht="12.75">
      <c r="B607" s="129" t="s">
        <v>1577</v>
      </c>
      <c r="C607" s="8"/>
      <c r="D607" s="8"/>
      <c r="E607" s="8"/>
      <c r="F607" s="25"/>
      <c r="G607" s="8"/>
      <c r="H607" s="51"/>
    </row>
    <row r="608" spans="2:8" ht="12.75">
      <c r="B608" s="1305" t="s">
        <v>1596</v>
      </c>
      <c r="C608" s="1305"/>
      <c r="D608" s="1305"/>
      <c r="E608" s="8"/>
      <c r="F608" s="25"/>
      <c r="G608" s="8"/>
      <c r="H608" s="23">
        <v>43759117</v>
      </c>
    </row>
    <row r="609" spans="2:8" ht="13.5" thickBot="1">
      <c r="B609" s="130" t="s">
        <v>1597</v>
      </c>
      <c r="C609" s="8"/>
      <c r="D609" s="8"/>
      <c r="E609" s="8"/>
      <c r="F609" s="25"/>
      <c r="G609" s="8"/>
      <c r="H609" s="26">
        <v>224903018</v>
      </c>
    </row>
    <row r="610" spans="2:8" ht="13.5" thickBot="1">
      <c r="B610" s="131" t="s">
        <v>1178</v>
      </c>
      <c r="C610" s="8"/>
      <c r="D610" s="8"/>
      <c r="E610" s="8"/>
      <c r="F610" s="25"/>
      <c r="G610" s="8"/>
      <c r="H610" s="32">
        <v>268662135</v>
      </c>
    </row>
    <row r="611" ht="13.5" thickTop="1">
      <c r="H611" s="1"/>
    </row>
    <row r="612" ht="12.75">
      <c r="H612" s="1"/>
    </row>
    <row r="613" ht="12.75">
      <c r="B613" s="48" t="s">
        <v>1598</v>
      </c>
    </row>
  </sheetData>
  <sheetProtection/>
  <mergeCells count="113">
    <mergeCell ref="D560:E560"/>
    <mergeCell ref="B552:D552"/>
    <mergeCell ref="B534:D534"/>
    <mergeCell ref="B608:D608"/>
    <mergeCell ref="B602:D602"/>
    <mergeCell ref="B584:D584"/>
    <mergeCell ref="B570:D570"/>
    <mergeCell ref="B554:D554"/>
    <mergeCell ref="B563:F563"/>
    <mergeCell ref="B562:E562"/>
    <mergeCell ref="D561:E561"/>
    <mergeCell ref="B533:D533"/>
    <mergeCell ref="B568:D568"/>
    <mergeCell ref="A566:H566"/>
    <mergeCell ref="A550:A551"/>
    <mergeCell ref="G548:G549"/>
    <mergeCell ref="A548:A549"/>
    <mergeCell ref="B553:D553"/>
    <mergeCell ref="B558:D558"/>
    <mergeCell ref="B557:D557"/>
    <mergeCell ref="B559:D559"/>
    <mergeCell ref="B528:D528"/>
    <mergeCell ref="B513:D513"/>
    <mergeCell ref="B547:D547"/>
    <mergeCell ref="B546:D546"/>
    <mergeCell ref="B531:D531"/>
    <mergeCell ref="B530:D530"/>
    <mergeCell ref="B527:D527"/>
    <mergeCell ref="B526:D526"/>
    <mergeCell ref="B525:D525"/>
    <mergeCell ref="B521:D521"/>
    <mergeCell ref="B512:D512"/>
    <mergeCell ref="B520:D520"/>
    <mergeCell ref="B519:D519"/>
    <mergeCell ref="B518:D518"/>
    <mergeCell ref="B517:D517"/>
    <mergeCell ref="B516:D516"/>
    <mergeCell ref="B514:D514"/>
    <mergeCell ref="B515:D515"/>
    <mergeCell ref="B524:D524"/>
    <mergeCell ref="B523:D523"/>
    <mergeCell ref="B522:D522"/>
    <mergeCell ref="G550:G551"/>
    <mergeCell ref="B550:D550"/>
    <mergeCell ref="B548:D548"/>
    <mergeCell ref="B532:D532"/>
    <mergeCell ref="B529:D529"/>
    <mergeCell ref="A289:H289"/>
    <mergeCell ref="B428:C428"/>
    <mergeCell ref="B509:D509"/>
    <mergeCell ref="B427:C427"/>
    <mergeCell ref="B426:C426"/>
    <mergeCell ref="B432:C432"/>
    <mergeCell ref="B446:D446"/>
    <mergeCell ref="A434:H434"/>
    <mergeCell ref="F371:G371"/>
    <mergeCell ref="B297:H297"/>
    <mergeCell ref="A361:H361"/>
    <mergeCell ref="B326:H326"/>
    <mergeCell ref="B417:H417"/>
    <mergeCell ref="B378:D378"/>
    <mergeCell ref="B376:H376"/>
    <mergeCell ref="B374:H374"/>
    <mergeCell ref="B511:D511"/>
    <mergeCell ref="B425:C425"/>
    <mergeCell ref="A507:H507"/>
    <mergeCell ref="B466:D466"/>
    <mergeCell ref="B456:D456"/>
    <mergeCell ref="B431:C431"/>
    <mergeCell ref="B430:C430"/>
    <mergeCell ref="B429:C429"/>
    <mergeCell ref="B510:D510"/>
    <mergeCell ref="B288:H288"/>
    <mergeCell ref="B307:H307"/>
    <mergeCell ref="B424:E424"/>
    <mergeCell ref="B192:D192"/>
    <mergeCell ref="B270:H270"/>
    <mergeCell ref="B262:C262"/>
    <mergeCell ref="B287:C287"/>
    <mergeCell ref="B279:H279"/>
    <mergeCell ref="B261:H261"/>
    <mergeCell ref="B215:H215"/>
    <mergeCell ref="B306:C306"/>
    <mergeCell ref="B211:D211"/>
    <mergeCell ref="B196:D196"/>
    <mergeCell ref="B202:D202"/>
    <mergeCell ref="B200:D200"/>
    <mergeCell ref="B204:D204"/>
    <mergeCell ref="B209:D209"/>
    <mergeCell ref="B198:D198"/>
    <mergeCell ref="B208:D208"/>
    <mergeCell ref="B296:C296"/>
    <mergeCell ref="B237:H237"/>
    <mergeCell ref="B212:D212"/>
    <mergeCell ref="A219:H219"/>
    <mergeCell ref="B55:D55"/>
    <mergeCell ref="B71:D71"/>
    <mergeCell ref="E70:E71"/>
    <mergeCell ref="A70:A71"/>
    <mergeCell ref="B194:D194"/>
    <mergeCell ref="B189:D189"/>
    <mergeCell ref="A145:H145"/>
    <mergeCell ref="B70:D70"/>
    <mergeCell ref="B96:D96"/>
    <mergeCell ref="A77:H77"/>
    <mergeCell ref="B76:D76"/>
    <mergeCell ref="B104:H104"/>
    <mergeCell ref="B108:H108"/>
    <mergeCell ref="A1:H1"/>
    <mergeCell ref="A2:H2"/>
    <mergeCell ref="B29:D29"/>
    <mergeCell ref="B41:D41"/>
    <mergeCell ref="B53:C5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59"/>
  <sheetViews>
    <sheetView tabSelected="1" view="pageBreakPreview" zoomScale="60" zoomScalePageLayoutView="0" workbookViewId="0" topLeftCell="A7">
      <selection activeCell="D49" sqref="D49"/>
    </sheetView>
  </sheetViews>
  <sheetFormatPr defaultColWidth="9.140625" defaultRowHeight="12.75"/>
  <cols>
    <col min="1" max="1" width="17.57421875" style="184" customWidth="1"/>
    <col min="2" max="2" width="19.28125" style="184" bestFit="1" customWidth="1"/>
    <col min="3" max="3" width="12.7109375" style="344" customWidth="1"/>
    <col min="4" max="4" width="18.421875" style="184" bestFit="1" customWidth="1"/>
    <col min="5" max="6" width="16.57421875" style="184" bestFit="1" customWidth="1"/>
    <col min="7" max="7" width="17.7109375" style="184" bestFit="1" customWidth="1"/>
    <col min="8" max="8" width="12.28125" style="184" hidden="1" customWidth="1"/>
    <col min="9" max="9" width="12.00390625" style="185" bestFit="1" customWidth="1"/>
    <col min="10" max="10" width="12.28125" style="141" bestFit="1" customWidth="1"/>
    <col min="11" max="16384" width="9.140625" style="184" customWidth="1"/>
  </cols>
  <sheetData>
    <row r="1" spans="1:14" s="144" customFormat="1" ht="15.75">
      <c r="A1" s="1306" t="s">
        <v>1185</v>
      </c>
      <c r="B1" s="1306"/>
      <c r="C1" s="1306"/>
      <c r="D1" s="1306"/>
      <c r="E1" s="1306"/>
      <c r="F1" s="1306"/>
      <c r="G1" s="1306"/>
      <c r="H1" s="182"/>
      <c r="I1" s="307"/>
      <c r="J1" s="308"/>
      <c r="K1" s="182"/>
      <c r="M1" s="309"/>
      <c r="N1" s="310"/>
    </row>
    <row r="2" spans="1:7" ht="15.75">
      <c r="A2" s="1306" t="s">
        <v>1622</v>
      </c>
      <c r="B2" s="1306"/>
      <c r="C2" s="1306"/>
      <c r="D2" s="1306"/>
      <c r="E2" s="1306"/>
      <c r="F2" s="1306"/>
      <c r="G2" s="1306"/>
    </row>
    <row r="3" spans="1:10" s="144" customFormat="1" ht="16.5" thickBot="1">
      <c r="A3" s="1307" t="s">
        <v>591</v>
      </c>
      <c r="B3" s="1307"/>
      <c r="C3" s="1307"/>
      <c r="D3" s="1307"/>
      <c r="E3" s="1307"/>
      <c r="F3" s="1307"/>
      <c r="G3" s="1307"/>
      <c r="I3" s="168"/>
      <c r="J3" s="170"/>
    </row>
    <row r="4" spans="1:8" ht="15" customHeight="1">
      <c r="A4" s="263" t="s">
        <v>1256</v>
      </c>
      <c r="B4" s="311" t="s">
        <v>1623</v>
      </c>
      <c r="C4" s="312" t="s">
        <v>1624</v>
      </c>
      <c r="D4" s="536" t="s">
        <v>1625</v>
      </c>
      <c r="E4" s="537" t="s">
        <v>1626</v>
      </c>
      <c r="F4" s="537" t="s">
        <v>1627</v>
      </c>
      <c r="G4" s="537" t="s">
        <v>1625</v>
      </c>
      <c r="H4" s="313" t="s">
        <v>1625</v>
      </c>
    </row>
    <row r="5" spans="1:10" s="144" customFormat="1" ht="15" customHeight="1">
      <c r="A5" s="171" t="s">
        <v>954</v>
      </c>
      <c r="B5" s="314" t="s">
        <v>1628</v>
      </c>
      <c r="C5" s="315"/>
      <c r="D5" s="538" t="s">
        <v>440</v>
      </c>
      <c r="E5" s="327" t="s">
        <v>1629</v>
      </c>
      <c r="F5" s="327" t="s">
        <v>1630</v>
      </c>
      <c r="G5" s="539" t="s">
        <v>580</v>
      </c>
      <c r="H5" s="316">
        <v>38898</v>
      </c>
      <c r="I5" s="168"/>
      <c r="J5" s="170"/>
    </row>
    <row r="6" spans="1:8" ht="15" customHeight="1">
      <c r="A6" s="147"/>
      <c r="B6" s="317"/>
      <c r="C6" s="318"/>
      <c r="D6" s="540"/>
      <c r="E6" s="541" t="s">
        <v>1631</v>
      </c>
      <c r="F6" s="541" t="s">
        <v>1629</v>
      </c>
      <c r="G6" s="541"/>
      <c r="H6" s="183"/>
    </row>
    <row r="7" spans="1:10" s="144" customFormat="1" ht="15" customHeight="1" thickBot="1">
      <c r="A7" s="319"/>
      <c r="B7" s="320"/>
      <c r="C7" s="321"/>
      <c r="D7" s="322"/>
      <c r="E7" s="323"/>
      <c r="F7" s="323" t="s">
        <v>1631</v>
      </c>
      <c r="G7" s="323"/>
      <c r="H7" s="323"/>
      <c r="I7" s="168"/>
      <c r="J7" s="170"/>
    </row>
    <row r="8" spans="1:10" s="144" customFormat="1" ht="15" customHeight="1">
      <c r="A8" s="132" t="s">
        <v>1257</v>
      </c>
      <c r="B8" s="324"/>
      <c r="C8" s="325"/>
      <c r="D8" s="526" t="s">
        <v>1186</v>
      </c>
      <c r="E8" s="526" t="s">
        <v>1186</v>
      </c>
      <c r="F8" s="526" t="s">
        <v>1186</v>
      </c>
      <c r="G8" s="542" t="s">
        <v>1186</v>
      </c>
      <c r="H8" s="265"/>
      <c r="I8" s="168"/>
      <c r="J8" s="170"/>
    </row>
    <row r="9" spans="1:10" s="144" customFormat="1" ht="15" customHeight="1">
      <c r="A9" s="132"/>
      <c r="B9" s="324"/>
      <c r="C9" s="325"/>
      <c r="D9" s="326"/>
      <c r="E9" s="326"/>
      <c r="F9" s="326"/>
      <c r="G9" s="327"/>
      <c r="H9" s="265"/>
      <c r="I9" s="168"/>
      <c r="J9" s="170"/>
    </row>
    <row r="10" spans="1:8" ht="15" customHeight="1">
      <c r="A10" s="132" t="s">
        <v>1632</v>
      </c>
      <c r="B10" s="324"/>
      <c r="C10" s="328"/>
      <c r="D10" s="329"/>
      <c r="E10" s="329"/>
      <c r="F10" s="329"/>
      <c r="G10" s="330"/>
      <c r="H10" s="264"/>
    </row>
    <row r="11" spans="1:8" ht="15" customHeight="1">
      <c r="A11" s="132"/>
      <c r="B11" s="324"/>
      <c r="C11" s="328"/>
      <c r="D11" s="329"/>
      <c r="E11" s="329"/>
      <c r="F11" s="329"/>
      <c r="G11" s="330"/>
      <c r="H11" s="264"/>
    </row>
    <row r="12" spans="1:10" s="144" customFormat="1" ht="15" customHeight="1">
      <c r="A12" s="171" t="s">
        <v>1223</v>
      </c>
      <c r="B12" s="331"/>
      <c r="C12" s="332"/>
      <c r="D12" s="333"/>
      <c r="E12" s="333"/>
      <c r="F12" s="333"/>
      <c r="G12" s="334"/>
      <c r="H12" s="265"/>
      <c r="I12" s="168"/>
      <c r="J12" s="170"/>
    </row>
    <row r="13" spans="1:10" s="144" customFormat="1" ht="15" customHeight="1">
      <c r="A13" s="335">
        <v>0.132</v>
      </c>
      <c r="B13" s="331" t="s">
        <v>1633</v>
      </c>
      <c r="C13" s="633" t="s">
        <v>547</v>
      </c>
      <c r="D13" s="333">
        <v>24311542</v>
      </c>
      <c r="E13" s="333">
        <v>5329035</v>
      </c>
      <c r="F13" s="333">
        <v>16708947</v>
      </c>
      <c r="G13" s="334">
        <f aca="true" t="shared" si="0" ref="G13:G35">D13+E13-F13</f>
        <v>12931630</v>
      </c>
      <c r="H13" s="191">
        <v>43119633</v>
      </c>
      <c r="I13" s="336"/>
      <c r="J13" s="158"/>
    </row>
    <row r="14" spans="1:10" s="144" customFormat="1" ht="15" customHeight="1">
      <c r="A14" s="337">
        <v>0.15</v>
      </c>
      <c r="B14" s="331" t="s">
        <v>1634</v>
      </c>
      <c r="C14" s="633" t="s">
        <v>548</v>
      </c>
      <c r="D14" s="333">
        <v>32977943</v>
      </c>
      <c r="E14" s="333">
        <v>0</v>
      </c>
      <c r="F14" s="333">
        <v>0</v>
      </c>
      <c r="G14" s="334">
        <f t="shared" si="0"/>
        <v>32977943</v>
      </c>
      <c r="H14" s="191">
        <v>32977943</v>
      </c>
      <c r="I14" s="168"/>
      <c r="J14" s="158"/>
    </row>
    <row r="15" spans="1:10" s="144" customFormat="1" ht="15" customHeight="1">
      <c r="A15" s="337">
        <v>0.15</v>
      </c>
      <c r="B15" s="331" t="s">
        <v>1635</v>
      </c>
      <c r="C15" s="633" t="s">
        <v>548</v>
      </c>
      <c r="D15" s="333">
        <v>1244877</v>
      </c>
      <c r="E15" s="333">
        <v>0</v>
      </c>
      <c r="F15" s="333">
        <v>0</v>
      </c>
      <c r="G15" s="334">
        <f t="shared" si="0"/>
        <v>1244877</v>
      </c>
      <c r="H15" s="191">
        <v>1244877</v>
      </c>
      <c r="I15" s="168"/>
      <c r="J15" s="158"/>
    </row>
    <row r="16" spans="1:10" s="144" customFormat="1" ht="15" customHeight="1">
      <c r="A16" s="337">
        <v>0.15</v>
      </c>
      <c r="B16" s="331" t="s">
        <v>1636</v>
      </c>
      <c r="C16" s="633" t="s">
        <v>548</v>
      </c>
      <c r="D16" s="333">
        <v>229632</v>
      </c>
      <c r="E16" s="333">
        <v>0</v>
      </c>
      <c r="F16" s="333">
        <v>0</v>
      </c>
      <c r="G16" s="334">
        <f t="shared" si="0"/>
        <v>229632</v>
      </c>
      <c r="H16" s="191">
        <v>229632</v>
      </c>
      <c r="I16" s="168"/>
      <c r="J16" s="158"/>
    </row>
    <row r="17" spans="1:10" s="144" customFormat="1" ht="15" customHeight="1">
      <c r="A17" s="337">
        <v>0.15</v>
      </c>
      <c r="B17" s="331" t="s">
        <v>1637</v>
      </c>
      <c r="C17" s="633" t="s">
        <v>548</v>
      </c>
      <c r="D17" s="333">
        <v>5268941</v>
      </c>
      <c r="E17" s="333">
        <v>0</v>
      </c>
      <c r="F17" s="333">
        <v>0</v>
      </c>
      <c r="G17" s="334">
        <f t="shared" si="0"/>
        <v>5268941</v>
      </c>
      <c r="H17" s="191">
        <v>5268941</v>
      </c>
      <c r="I17" s="168"/>
      <c r="J17" s="158"/>
    </row>
    <row r="18" spans="1:10" s="144" customFormat="1" ht="15" customHeight="1">
      <c r="A18" s="337">
        <v>0.15</v>
      </c>
      <c r="B18" s="331" t="s">
        <v>1638</v>
      </c>
      <c r="C18" s="633" t="s">
        <v>548</v>
      </c>
      <c r="D18" s="333">
        <v>9336575</v>
      </c>
      <c r="E18" s="333">
        <v>0</v>
      </c>
      <c r="F18" s="333">
        <v>0</v>
      </c>
      <c r="G18" s="334">
        <f t="shared" si="0"/>
        <v>9336575</v>
      </c>
      <c r="H18" s="191">
        <v>9336575</v>
      </c>
      <c r="I18" s="168"/>
      <c r="J18" s="158"/>
    </row>
    <row r="19" spans="1:10" s="144" customFormat="1" ht="15" customHeight="1">
      <c r="A19" s="337">
        <v>0.15</v>
      </c>
      <c r="B19" s="331" t="s">
        <v>1639</v>
      </c>
      <c r="C19" s="633" t="s">
        <v>548</v>
      </c>
      <c r="D19" s="333">
        <v>1914553</v>
      </c>
      <c r="E19" s="333">
        <v>0</v>
      </c>
      <c r="F19" s="333">
        <v>0</v>
      </c>
      <c r="G19" s="334">
        <f t="shared" si="0"/>
        <v>1914553</v>
      </c>
      <c r="H19" s="191">
        <v>1914554</v>
      </c>
      <c r="I19" s="168"/>
      <c r="J19" s="158"/>
    </row>
    <row r="20" spans="1:10" s="144" customFormat="1" ht="15" customHeight="1">
      <c r="A20" s="337">
        <v>0.15</v>
      </c>
      <c r="B20" s="331" t="s">
        <v>1640</v>
      </c>
      <c r="C20" s="633" t="s">
        <v>548</v>
      </c>
      <c r="D20" s="333">
        <v>3112191</v>
      </c>
      <c r="E20" s="333">
        <v>0</v>
      </c>
      <c r="F20" s="333">
        <v>0</v>
      </c>
      <c r="G20" s="334">
        <f t="shared" si="0"/>
        <v>3112191</v>
      </c>
      <c r="H20" s="191">
        <v>3112192</v>
      </c>
      <c r="I20" s="168"/>
      <c r="J20" s="158"/>
    </row>
    <row r="21" spans="1:10" s="144" customFormat="1" ht="15" customHeight="1">
      <c r="A21" s="337">
        <v>0.15</v>
      </c>
      <c r="B21" s="331" t="s">
        <v>1641</v>
      </c>
      <c r="C21" s="633" t="s">
        <v>548</v>
      </c>
      <c r="D21" s="333">
        <v>1773949</v>
      </c>
      <c r="E21" s="333">
        <v>0</v>
      </c>
      <c r="F21" s="333">
        <v>0</v>
      </c>
      <c r="G21" s="334">
        <f t="shared" si="0"/>
        <v>1773949</v>
      </c>
      <c r="H21" s="191">
        <v>1773949</v>
      </c>
      <c r="I21" s="168"/>
      <c r="J21" s="158"/>
    </row>
    <row r="22" spans="1:10" s="144" customFormat="1" ht="15" customHeight="1">
      <c r="A22" s="337">
        <v>0.15</v>
      </c>
      <c r="B22" s="331" t="s">
        <v>1642</v>
      </c>
      <c r="C22" s="633" t="s">
        <v>548</v>
      </c>
      <c r="D22" s="333">
        <v>4045849</v>
      </c>
      <c r="E22" s="333">
        <v>0</v>
      </c>
      <c r="F22" s="333">
        <v>0</v>
      </c>
      <c r="G22" s="334">
        <f t="shared" si="0"/>
        <v>4045849</v>
      </c>
      <c r="H22" s="191">
        <v>4045849</v>
      </c>
      <c r="I22" s="168"/>
      <c r="J22" s="158"/>
    </row>
    <row r="23" spans="1:10" s="144" customFormat="1" ht="15" customHeight="1">
      <c r="A23" s="337">
        <v>0.15</v>
      </c>
      <c r="B23" s="331" t="s">
        <v>1643</v>
      </c>
      <c r="C23" s="633" t="s">
        <v>548</v>
      </c>
      <c r="D23" s="333">
        <v>4253329</v>
      </c>
      <c r="E23" s="333">
        <v>0</v>
      </c>
      <c r="F23" s="333">
        <v>0</v>
      </c>
      <c r="G23" s="334">
        <f t="shared" si="0"/>
        <v>4253329</v>
      </c>
      <c r="H23" s="191">
        <v>4253329</v>
      </c>
      <c r="I23" s="168"/>
      <c r="J23" s="158"/>
    </row>
    <row r="24" spans="1:10" s="144" customFormat="1" ht="15" customHeight="1">
      <c r="A24" s="337">
        <v>0.15</v>
      </c>
      <c r="B24" s="331" t="s">
        <v>1644</v>
      </c>
      <c r="C24" s="633" t="s">
        <v>548</v>
      </c>
      <c r="D24" s="333">
        <v>4149589</v>
      </c>
      <c r="E24" s="333">
        <v>0</v>
      </c>
      <c r="F24" s="333">
        <v>0</v>
      </c>
      <c r="G24" s="334">
        <f t="shared" si="0"/>
        <v>4149589</v>
      </c>
      <c r="H24" s="191">
        <v>4149589</v>
      </c>
      <c r="I24" s="168"/>
      <c r="J24" s="158"/>
    </row>
    <row r="25" spans="1:10" s="144" customFormat="1" ht="15" customHeight="1">
      <c r="A25" s="337">
        <v>0.15</v>
      </c>
      <c r="B25" s="331" t="s">
        <v>1645</v>
      </c>
      <c r="C25" s="633" t="s">
        <v>548</v>
      </c>
      <c r="D25" s="333">
        <v>311220</v>
      </c>
      <c r="E25" s="333">
        <v>0</v>
      </c>
      <c r="F25" s="333">
        <v>0</v>
      </c>
      <c r="G25" s="334">
        <f t="shared" si="0"/>
        <v>311220</v>
      </c>
      <c r="H25" s="191">
        <v>311219</v>
      </c>
      <c r="I25" s="168"/>
      <c r="J25" s="158"/>
    </row>
    <row r="26" spans="1:10" s="144" customFormat="1" ht="15" customHeight="1">
      <c r="A26" s="337">
        <v>0.15</v>
      </c>
      <c r="B26" s="331" t="s">
        <v>1646</v>
      </c>
      <c r="C26" s="633" t="s">
        <v>548</v>
      </c>
      <c r="D26" s="333">
        <v>308512</v>
      </c>
      <c r="E26" s="333">
        <v>0</v>
      </c>
      <c r="F26" s="333">
        <v>0</v>
      </c>
      <c r="G26" s="334">
        <f t="shared" si="0"/>
        <v>308512</v>
      </c>
      <c r="H26" s="191">
        <v>308512</v>
      </c>
      <c r="I26" s="168"/>
      <c r="J26" s="158"/>
    </row>
    <row r="27" spans="1:10" s="144" customFormat="1" ht="15" customHeight="1">
      <c r="A27" s="337">
        <v>0.15</v>
      </c>
      <c r="B27" s="331" t="s">
        <v>1647</v>
      </c>
      <c r="C27" s="633" t="s">
        <v>548</v>
      </c>
      <c r="D27" s="333">
        <v>3956186</v>
      </c>
      <c r="E27" s="333">
        <v>0</v>
      </c>
      <c r="F27" s="333">
        <v>0</v>
      </c>
      <c r="G27" s="334">
        <f t="shared" si="0"/>
        <v>3956186</v>
      </c>
      <c r="H27" s="191">
        <v>3956187</v>
      </c>
      <c r="I27" s="168"/>
      <c r="J27" s="158"/>
    </row>
    <row r="28" spans="1:10" s="144" customFormat="1" ht="15" customHeight="1">
      <c r="A28" s="337">
        <v>0.15</v>
      </c>
      <c r="B28" s="331" t="s">
        <v>1648</v>
      </c>
      <c r="C28" s="633" t="s">
        <v>549</v>
      </c>
      <c r="D28" s="333">
        <v>10471608</v>
      </c>
      <c r="E28" s="333">
        <v>0</v>
      </c>
      <c r="F28" s="333">
        <v>0</v>
      </c>
      <c r="G28" s="334">
        <f t="shared" si="0"/>
        <v>10471608</v>
      </c>
      <c r="H28" s="191">
        <v>10471608</v>
      </c>
      <c r="I28" s="168"/>
      <c r="J28" s="158"/>
    </row>
    <row r="29" spans="1:10" s="144" customFormat="1" ht="15" customHeight="1">
      <c r="A29" s="337">
        <v>0.15</v>
      </c>
      <c r="B29" s="331" t="s">
        <v>1649</v>
      </c>
      <c r="C29" s="633" t="s">
        <v>548</v>
      </c>
      <c r="D29" s="333">
        <v>1224425</v>
      </c>
      <c r="E29" s="333">
        <v>0</v>
      </c>
      <c r="F29" s="333">
        <v>0</v>
      </c>
      <c r="G29" s="334">
        <f t="shared" si="0"/>
        <v>1224425</v>
      </c>
      <c r="H29" s="191">
        <v>1224426</v>
      </c>
      <c r="I29" s="168"/>
      <c r="J29" s="158"/>
    </row>
    <row r="30" spans="1:10" s="144" customFormat="1" ht="15" customHeight="1">
      <c r="A30" s="337">
        <v>0.15</v>
      </c>
      <c r="B30" s="331" t="s">
        <v>1650</v>
      </c>
      <c r="C30" s="633" t="s">
        <v>550</v>
      </c>
      <c r="D30" s="333">
        <v>2966126</v>
      </c>
      <c r="E30" s="333">
        <v>0</v>
      </c>
      <c r="F30" s="333">
        <v>0</v>
      </c>
      <c r="G30" s="334">
        <f t="shared" si="0"/>
        <v>2966126</v>
      </c>
      <c r="H30" s="191">
        <v>2966126</v>
      </c>
      <c r="I30" s="168"/>
      <c r="J30" s="158"/>
    </row>
    <row r="31" spans="1:10" s="144" customFormat="1" ht="15" customHeight="1">
      <c r="A31" s="335">
        <v>0.162</v>
      </c>
      <c r="B31" s="331" t="s">
        <v>1651</v>
      </c>
      <c r="C31" s="633" t="s">
        <v>551</v>
      </c>
      <c r="D31" s="333">
        <v>17844958</v>
      </c>
      <c r="E31" s="333"/>
      <c r="F31" s="333">
        <v>6317824</v>
      </c>
      <c r="G31" s="334">
        <f t="shared" si="0"/>
        <v>11527134</v>
      </c>
      <c r="H31" s="191">
        <v>27864824</v>
      </c>
      <c r="I31" s="336"/>
      <c r="J31" s="158"/>
    </row>
    <row r="32" spans="1:10" s="144" customFormat="1" ht="15" customHeight="1">
      <c r="A32" s="335">
        <v>0.1005</v>
      </c>
      <c r="B32" s="331" t="s">
        <v>1652</v>
      </c>
      <c r="C32" s="633" t="s">
        <v>552</v>
      </c>
      <c r="D32" s="333">
        <v>0</v>
      </c>
      <c r="E32" s="333">
        <v>0</v>
      </c>
      <c r="F32" s="333">
        <v>0</v>
      </c>
      <c r="G32" s="334">
        <f t="shared" si="0"/>
        <v>0</v>
      </c>
      <c r="H32" s="191">
        <v>6747</v>
      </c>
      <c r="I32" s="168"/>
      <c r="J32" s="170"/>
    </row>
    <row r="33" spans="1:10" s="144" customFormat="1" ht="15" customHeight="1">
      <c r="A33" s="335">
        <v>0.1356</v>
      </c>
      <c r="B33" s="331" t="s">
        <v>1653</v>
      </c>
      <c r="C33" s="633" t="s">
        <v>553</v>
      </c>
      <c r="D33" s="333">
        <v>1959410</v>
      </c>
      <c r="E33" s="333">
        <v>0</v>
      </c>
      <c r="F33" s="333">
        <v>229567</v>
      </c>
      <c r="G33" s="334">
        <f t="shared" si="0"/>
        <v>1729843</v>
      </c>
      <c r="H33" s="191">
        <v>2336436</v>
      </c>
      <c r="I33" s="336"/>
      <c r="J33" s="158"/>
    </row>
    <row r="34" spans="1:10" s="144" customFormat="1" ht="15" customHeight="1">
      <c r="A34" s="335"/>
      <c r="B34" s="331" t="s">
        <v>592</v>
      </c>
      <c r="C34" s="633">
        <v>43374</v>
      </c>
      <c r="D34" s="333"/>
      <c r="E34" s="333">
        <v>24004010</v>
      </c>
      <c r="F34" s="333">
        <v>1062846</v>
      </c>
      <c r="G34" s="334">
        <f t="shared" si="0"/>
        <v>22941164</v>
      </c>
      <c r="H34" s="191"/>
      <c r="I34" s="336"/>
      <c r="J34" s="158"/>
    </row>
    <row r="35" spans="1:10" s="144" customFormat="1" ht="15" customHeight="1">
      <c r="A35" s="335"/>
      <c r="B35" s="331" t="s">
        <v>593</v>
      </c>
      <c r="C35" s="633">
        <v>43374</v>
      </c>
      <c r="D35" s="333"/>
      <c r="E35" s="333">
        <v>6000000</v>
      </c>
      <c r="F35" s="333">
        <v>315483</v>
      </c>
      <c r="G35" s="334">
        <f t="shared" si="0"/>
        <v>5684517</v>
      </c>
      <c r="H35" s="191"/>
      <c r="I35" s="336"/>
      <c r="J35" s="158"/>
    </row>
    <row r="36" spans="1:8" ht="15" customHeight="1">
      <c r="A36" s="132" t="s">
        <v>1654</v>
      </c>
      <c r="B36" s="324"/>
      <c r="C36" s="328"/>
      <c r="D36" s="329"/>
      <c r="E36" s="329"/>
      <c r="F36" s="329"/>
      <c r="G36" s="330"/>
      <c r="H36" s="188"/>
    </row>
    <row r="37" spans="1:10" ht="15" customHeight="1">
      <c r="A37" s="338">
        <v>0.1274</v>
      </c>
      <c r="B37" s="324" t="s">
        <v>251</v>
      </c>
      <c r="C37" s="633" t="s">
        <v>547</v>
      </c>
      <c r="D37" s="329">
        <v>23637156</v>
      </c>
      <c r="E37" s="333">
        <v>0</v>
      </c>
      <c r="F37" s="329">
        <v>12862760</v>
      </c>
      <c r="G37" s="330">
        <f>D37+E37-F37</f>
        <v>10774396</v>
      </c>
      <c r="H37" s="188">
        <v>46601816</v>
      </c>
      <c r="J37" s="339"/>
    </row>
    <row r="38" spans="1:10" s="144" customFormat="1" ht="15" customHeight="1">
      <c r="A38" s="190" t="s">
        <v>1655</v>
      </c>
      <c r="B38" s="314"/>
      <c r="C38" s="340"/>
      <c r="D38" s="341"/>
      <c r="E38" s="341"/>
      <c r="F38" s="341"/>
      <c r="G38" s="342"/>
      <c r="H38" s="191"/>
      <c r="I38" s="168"/>
      <c r="J38" s="170"/>
    </row>
    <row r="39" spans="1:10" s="144" customFormat="1" ht="15" customHeight="1">
      <c r="A39" s="335">
        <v>0.1167</v>
      </c>
      <c r="B39" s="331" t="s">
        <v>1656</v>
      </c>
      <c r="C39" s="633" t="s">
        <v>554</v>
      </c>
      <c r="D39" s="333">
        <v>53950693</v>
      </c>
      <c r="E39" s="333">
        <v>0</v>
      </c>
      <c r="F39" s="333">
        <v>4828748</v>
      </c>
      <c r="G39" s="334">
        <f>D39+E39-F39</f>
        <v>49121945</v>
      </c>
      <c r="H39" s="191">
        <v>60000000</v>
      </c>
      <c r="I39" s="168"/>
      <c r="J39" s="158"/>
    </row>
    <row r="40" spans="1:10" s="144" customFormat="1" ht="15" customHeight="1" thickBot="1">
      <c r="A40" s="335"/>
      <c r="B40" s="331"/>
      <c r="C40" s="332"/>
      <c r="D40" s="333"/>
      <c r="E40" s="333"/>
      <c r="F40" s="333"/>
      <c r="G40" s="334"/>
      <c r="H40" s="156"/>
      <c r="I40" s="667" t="s">
        <v>614</v>
      </c>
      <c r="J40" s="158"/>
    </row>
    <row r="41" spans="1:10" s="144" customFormat="1" ht="15" customHeight="1" thickBot="1">
      <c r="A41" s="171" t="s">
        <v>1258</v>
      </c>
      <c r="B41" s="331"/>
      <c r="C41" s="332"/>
      <c r="D41" s="937">
        <v>209249264</v>
      </c>
      <c r="E41" s="937">
        <f>SUM(E13:E39)</f>
        <v>35333045</v>
      </c>
      <c r="F41" s="937">
        <f>SUM(F13:F39)</f>
        <v>42326175</v>
      </c>
      <c r="G41" s="937">
        <f>SUM(G13:G39)</f>
        <v>202256134</v>
      </c>
      <c r="H41" s="156"/>
      <c r="I41" s="168"/>
      <c r="J41" s="170"/>
    </row>
    <row r="42" spans="1:10" s="144" customFormat="1" ht="15" customHeight="1">
      <c r="A42" s="147"/>
      <c r="B42" s="331"/>
      <c r="C42" s="332"/>
      <c r="D42" s="925"/>
      <c r="E42" s="925"/>
      <c r="F42" s="925"/>
      <c r="G42" s="334"/>
      <c r="H42" s="156"/>
      <c r="I42" s="168"/>
      <c r="J42" s="170"/>
    </row>
    <row r="43" spans="1:10" s="144" customFormat="1" ht="15" customHeight="1">
      <c r="A43" s="147"/>
      <c r="B43" s="331"/>
      <c r="C43" s="332"/>
      <c r="D43" s="925"/>
      <c r="E43" s="925"/>
      <c r="F43" s="925"/>
      <c r="G43" s="334"/>
      <c r="H43" s="156"/>
      <c r="I43" s="168"/>
      <c r="J43" s="170"/>
    </row>
    <row r="44" spans="1:10" s="144" customFormat="1" ht="15" customHeight="1">
      <c r="A44" s="147"/>
      <c r="B44" s="331"/>
      <c r="C44" s="332"/>
      <c r="D44" s="925"/>
      <c r="E44" s="925"/>
      <c r="F44" s="925"/>
      <c r="G44" s="334"/>
      <c r="H44" s="156"/>
      <c r="I44" s="168"/>
      <c r="J44" s="170"/>
    </row>
    <row r="45" spans="1:10" s="144" customFormat="1" ht="15" customHeight="1" thickBot="1">
      <c r="A45" s="198"/>
      <c r="B45" s="986"/>
      <c r="C45" s="987"/>
      <c r="D45" s="988"/>
      <c r="E45" s="988"/>
      <c r="F45" s="988"/>
      <c r="G45" s="989"/>
      <c r="H45" s="156"/>
      <c r="I45" s="168"/>
      <c r="J45" s="170"/>
    </row>
    <row r="46" spans="1:7" ht="12.75">
      <c r="A46" s="464"/>
      <c r="B46" s="314"/>
      <c r="C46" s="340"/>
      <c r="D46" s="274"/>
      <c r="E46" s="925"/>
      <c r="F46" s="274"/>
      <c r="G46" s="274"/>
    </row>
    <row r="47" spans="1:7" ht="12.75">
      <c r="A47" s="464"/>
      <c r="B47" s="314"/>
      <c r="C47" s="340"/>
      <c r="D47" s="274"/>
      <c r="E47" s="925"/>
      <c r="F47" s="274"/>
      <c r="G47" s="274"/>
    </row>
    <row r="48" spans="1:7" ht="12.75">
      <c r="A48" s="464"/>
      <c r="B48" s="314"/>
      <c r="C48" s="340"/>
      <c r="D48" s="274"/>
      <c r="E48" s="925"/>
      <c r="F48" s="274"/>
      <c r="G48" s="274"/>
    </row>
    <row r="49" spans="1:7" ht="12.75">
      <c r="A49" s="464"/>
      <c r="B49" s="314"/>
      <c r="C49" s="340"/>
      <c r="D49" s="274"/>
      <c r="E49" s="925"/>
      <c r="F49" s="274"/>
      <c r="G49" s="274"/>
    </row>
    <row r="50" spans="1:7" ht="12.75">
      <c r="A50" s="464"/>
      <c r="B50" s="314"/>
      <c r="C50" s="340"/>
      <c r="D50" s="274"/>
      <c r="E50" s="925"/>
      <c r="F50" s="274"/>
      <c r="G50" s="274"/>
    </row>
    <row r="51" spans="1:7" ht="12.75">
      <c r="A51" s="464"/>
      <c r="B51" s="314"/>
      <c r="C51" s="340"/>
      <c r="D51" s="274"/>
      <c r="E51" s="925"/>
      <c r="F51" s="274"/>
      <c r="G51" s="274"/>
    </row>
    <row r="52" spans="1:9" ht="12.75">
      <c r="A52" s="141"/>
      <c r="B52" s="324"/>
      <c r="C52" s="328"/>
      <c r="D52" s="926"/>
      <c r="E52" s="926"/>
      <c r="F52" s="926"/>
      <c r="G52" s="926"/>
      <c r="H52" s="141"/>
      <c r="I52" s="924"/>
    </row>
    <row r="53" spans="1:9" ht="12.75">
      <c r="A53" s="464"/>
      <c r="B53" s="314"/>
      <c r="C53" s="340"/>
      <c r="D53" s="1221" t="s">
        <v>147</v>
      </c>
      <c r="E53" s="925"/>
      <c r="F53" s="273"/>
      <c r="G53" s="273"/>
      <c r="H53" s="141"/>
      <c r="I53" s="924"/>
    </row>
    <row r="54" spans="1:7" ht="12.75">
      <c r="A54" s="1260"/>
      <c r="B54" s="1260"/>
      <c r="C54" s="1260"/>
      <c r="D54" s="1260"/>
      <c r="E54" s="1260"/>
      <c r="F54" s="1260"/>
      <c r="G54" s="1260"/>
    </row>
    <row r="55" spans="1:7" ht="12.75">
      <c r="A55" s="144"/>
      <c r="B55" s="144"/>
      <c r="C55" s="343"/>
      <c r="D55" s="144"/>
      <c r="E55" s="144"/>
      <c r="F55" s="144"/>
      <c r="G55" s="144"/>
    </row>
    <row r="56" spans="1:7" ht="12.75">
      <c r="A56" s="144"/>
      <c r="B56" s="144"/>
      <c r="C56" s="343"/>
      <c r="D56" s="144"/>
      <c r="E56" s="144"/>
      <c r="F56" s="153" t="s">
        <v>1587</v>
      </c>
      <c r="G56" s="144"/>
    </row>
    <row r="57" spans="1:7" ht="12.75">
      <c r="A57" s="144"/>
      <c r="B57" s="144"/>
      <c r="C57" s="343"/>
      <c r="D57" s="144"/>
      <c r="E57" s="144"/>
      <c r="F57" s="144"/>
      <c r="G57" s="144"/>
    </row>
    <row r="58" spans="1:7" ht="12.75">
      <c r="A58" s="144"/>
      <c r="B58" s="144"/>
      <c r="C58" s="343"/>
      <c r="D58" s="144"/>
      <c r="E58" s="144"/>
      <c r="F58" s="144"/>
      <c r="G58" s="144"/>
    </row>
    <row r="59" spans="1:7" ht="12.75">
      <c r="A59" s="144"/>
      <c r="B59" s="144"/>
      <c r="C59" s="343"/>
      <c r="D59" s="144"/>
      <c r="E59" s="144"/>
      <c r="F59" s="144"/>
      <c r="G59" s="144"/>
    </row>
  </sheetData>
  <sheetProtection/>
  <mergeCells count="4">
    <mergeCell ref="A2:G2"/>
    <mergeCell ref="A3:G3"/>
    <mergeCell ref="A54:G54"/>
    <mergeCell ref="A1:G1"/>
  </mergeCells>
  <hyperlinks>
    <hyperlink ref="I40" r:id="rId1" display="INVESTMENT AND LOANS\Loans Register 200809.xls"/>
  </hyperlinks>
  <printOptions verticalCentered="1"/>
  <pageMargins left="0.7086614173228347" right="0.7086614173228347" top="0.7480314960629921" bottom="0.7480314960629921" header="0.31496062992125984" footer="0.31496062992125984"/>
  <pageSetup horizontalDpi="600" verticalDpi="600" orientation="portrait" paperSize="9" scale="75" r:id="rId2"/>
  <headerFooter alignWithMargins="0">
    <oddFooter>&amp;C- 32 -
</oddFooter>
  </headerFooter>
  <colBreaks count="1" manualBreakCount="1">
    <brk id="7" max="58" man="1"/>
  </colBreaks>
</worksheet>
</file>

<file path=xl/worksheets/sheet12.xml><?xml version="1.0" encoding="utf-8"?>
<worksheet xmlns="http://schemas.openxmlformats.org/spreadsheetml/2006/main" xmlns:r="http://schemas.openxmlformats.org/officeDocument/2006/relationships">
  <sheetPr>
    <pageSetUpPr fitToPage="1"/>
  </sheetPr>
  <dimension ref="A1:AA96"/>
  <sheetViews>
    <sheetView view="pageBreakPreview" zoomScaleNormal="75" zoomScaleSheetLayoutView="100" zoomScalePageLayoutView="0" workbookViewId="0" topLeftCell="A1">
      <pane ySplit="6" topLeftCell="BM7" activePane="bottomLeft" state="frozen"/>
      <selection pane="topLeft" activeCell="B1" sqref="B1"/>
      <selection pane="bottomLeft" activeCell="D74" sqref="D74"/>
    </sheetView>
  </sheetViews>
  <sheetFormatPr defaultColWidth="4.8515625" defaultRowHeight="12.75"/>
  <cols>
    <col min="1" max="1" width="24.28125" style="144" bestFit="1" customWidth="1"/>
    <col min="2" max="2" width="11.7109375" style="1027" bestFit="1" customWidth="1"/>
    <col min="3" max="3" width="7.8515625" style="148" hidden="1" customWidth="1"/>
    <col min="4" max="4" width="12.00390625" style="148" bestFit="1" customWidth="1"/>
    <col min="5" max="5" width="14.28125" style="148" hidden="1" customWidth="1"/>
    <col min="6" max="6" width="14.28125" style="148" bestFit="1" customWidth="1"/>
    <col min="7" max="7" width="14.28125" style="148" customWidth="1"/>
    <col min="8" max="8" width="9.00390625" style="272" bestFit="1" customWidth="1"/>
    <col min="9" max="9" width="14.28125" style="148" bestFit="1" customWidth="1"/>
    <col min="10" max="10" width="12.8515625" style="148" bestFit="1" customWidth="1"/>
    <col min="11" max="12" width="12.00390625" style="148" bestFit="1" customWidth="1"/>
    <col min="13" max="13" width="10.7109375" style="148" hidden="1" customWidth="1"/>
    <col min="14" max="14" width="6.7109375" style="148" hidden="1" customWidth="1"/>
    <col min="15" max="15" width="14.7109375" style="148" customWidth="1"/>
    <col min="16" max="16" width="9.00390625" style="144" bestFit="1" customWidth="1"/>
    <col min="17" max="18" width="14.28125" style="144" bestFit="1" customWidth="1"/>
    <col min="19" max="19" width="12.8515625" style="144" bestFit="1" customWidth="1"/>
    <col min="20" max="16384" width="4.8515625" style="144" customWidth="1"/>
  </cols>
  <sheetData>
    <row r="1" spans="1:23" ht="15.75">
      <c r="A1" s="1306"/>
      <c r="B1" s="1306"/>
      <c r="C1" s="1306"/>
      <c r="D1" s="1306"/>
      <c r="E1" s="1306"/>
      <c r="F1" s="1306"/>
      <c r="G1" s="1306"/>
      <c r="H1" s="1306"/>
      <c r="I1" s="1306"/>
      <c r="J1" s="1306"/>
      <c r="K1" s="1306"/>
      <c r="L1" s="1306"/>
      <c r="M1" s="1306"/>
      <c r="N1" s="1306"/>
      <c r="O1" s="1190"/>
      <c r="P1" s="182"/>
      <c r="Q1" s="182"/>
      <c r="R1" s="182"/>
      <c r="S1" s="182" t="s">
        <v>1587</v>
      </c>
      <c r="T1" s="182"/>
      <c r="V1" s="309"/>
      <c r="W1" s="310"/>
    </row>
    <row r="2" spans="1:17" ht="12.75">
      <c r="A2" s="1258" t="s">
        <v>1104</v>
      </c>
      <c r="B2" s="1258"/>
      <c r="C2" s="1258"/>
      <c r="D2" s="1258"/>
      <c r="E2" s="1258"/>
      <c r="F2" s="1258"/>
      <c r="G2" s="1258"/>
      <c r="H2" s="1258"/>
      <c r="I2" s="1258"/>
      <c r="J2" s="1258"/>
      <c r="K2" s="1258"/>
      <c r="L2" s="1258"/>
      <c r="M2" s="1258"/>
      <c r="N2" s="1258"/>
      <c r="O2" s="182"/>
      <c r="Q2" s="170"/>
    </row>
    <row r="3" spans="1:17" ht="12.75">
      <c r="A3" s="1258" t="s">
        <v>595</v>
      </c>
      <c r="B3" s="1258"/>
      <c r="C3" s="1258"/>
      <c r="D3" s="1258"/>
      <c r="E3" s="1258"/>
      <c r="F3" s="1258"/>
      <c r="G3" s="1258"/>
      <c r="H3" s="1258"/>
      <c r="I3" s="1258"/>
      <c r="J3" s="1258"/>
      <c r="K3" s="1258"/>
      <c r="L3" s="1258"/>
      <c r="M3" s="1258"/>
      <c r="N3" s="1258"/>
      <c r="O3" s="182"/>
      <c r="Q3" s="170"/>
    </row>
    <row r="4" ht="13.5" thickBot="1">
      <c r="Q4" s="170"/>
    </row>
    <row r="5" spans="1:19" s="1182" customFormat="1" ht="17.25" customHeight="1">
      <c r="A5" s="706"/>
      <c r="B5" s="1312" t="s">
        <v>183</v>
      </c>
      <c r="C5" s="1313"/>
      <c r="D5" s="1313"/>
      <c r="E5" s="1313"/>
      <c r="F5" s="1313"/>
      <c r="G5" s="1313"/>
      <c r="H5" s="1313"/>
      <c r="I5" s="1314"/>
      <c r="J5" s="1312" t="s">
        <v>184</v>
      </c>
      <c r="K5" s="1313"/>
      <c r="L5" s="1313"/>
      <c r="M5" s="1313"/>
      <c r="N5" s="1313"/>
      <c r="O5" s="1313"/>
      <c r="P5" s="1313"/>
      <c r="Q5" s="1313"/>
      <c r="R5" s="1310" t="s">
        <v>373</v>
      </c>
      <c r="S5" s="1308" t="s">
        <v>806</v>
      </c>
    </row>
    <row r="6" spans="1:19" s="1182" customFormat="1" ht="32.25" customHeight="1" thickBot="1">
      <c r="A6" s="707"/>
      <c r="B6" s="1028" t="s">
        <v>750</v>
      </c>
      <c r="C6" s="708" t="s">
        <v>1183</v>
      </c>
      <c r="D6" s="708" t="s">
        <v>1106</v>
      </c>
      <c r="E6" s="708" t="s">
        <v>107</v>
      </c>
      <c r="F6" s="708" t="s">
        <v>848</v>
      </c>
      <c r="G6" s="1235" t="s">
        <v>107</v>
      </c>
      <c r="H6" s="940" t="s">
        <v>1107</v>
      </c>
      <c r="I6" s="1213" t="s">
        <v>12</v>
      </c>
      <c r="J6" s="708" t="s">
        <v>750</v>
      </c>
      <c r="K6" s="708" t="s">
        <v>1666</v>
      </c>
      <c r="L6" s="709" t="s">
        <v>825</v>
      </c>
      <c r="M6" s="708" t="s">
        <v>107</v>
      </c>
      <c r="N6" s="708" t="s">
        <v>751</v>
      </c>
      <c r="O6" s="709" t="s">
        <v>163</v>
      </c>
      <c r="P6" s="708" t="s">
        <v>1107</v>
      </c>
      <c r="Q6" s="708" t="s">
        <v>1259</v>
      </c>
      <c r="R6" s="1311"/>
      <c r="S6" s="1309"/>
    </row>
    <row r="7" spans="1:19" s="1183" customFormat="1" ht="9" customHeight="1">
      <c r="A7" s="710"/>
      <c r="B7" s="1029"/>
      <c r="C7" s="711"/>
      <c r="D7" s="711"/>
      <c r="E7" s="711"/>
      <c r="F7" s="711"/>
      <c r="G7" s="1241"/>
      <c r="H7" s="941"/>
      <c r="I7" s="1214"/>
      <c r="J7" s="712"/>
      <c r="K7" s="711"/>
      <c r="L7" s="712"/>
      <c r="M7" s="712"/>
      <c r="N7" s="711"/>
      <c r="O7" s="711"/>
      <c r="P7" s="711"/>
      <c r="Q7" s="711"/>
      <c r="R7" s="942"/>
      <c r="S7" s="713"/>
    </row>
    <row r="8" spans="1:19" s="677" customFormat="1" ht="11.25">
      <c r="A8" s="714" t="s">
        <v>104</v>
      </c>
      <c r="B8" s="1030"/>
      <c r="C8" s="715"/>
      <c r="D8" s="715"/>
      <c r="E8" s="715"/>
      <c r="F8" s="715"/>
      <c r="G8" s="715"/>
      <c r="H8" s="943"/>
      <c r="I8" s="1215"/>
      <c r="J8" s="716"/>
      <c r="K8" s="715"/>
      <c r="L8" s="716"/>
      <c r="M8" s="716"/>
      <c r="N8" s="715"/>
      <c r="O8" s="715"/>
      <c r="P8" s="715"/>
      <c r="Q8" s="715"/>
      <c r="R8" s="716"/>
      <c r="S8" s="717"/>
    </row>
    <row r="9" spans="1:19" s="677" customFormat="1" ht="8.25" customHeight="1">
      <c r="A9" s="714"/>
      <c r="B9" s="1030"/>
      <c r="C9" s="715"/>
      <c r="D9" s="715"/>
      <c r="E9" s="715"/>
      <c r="F9" s="715"/>
      <c r="G9" s="715"/>
      <c r="H9" s="943"/>
      <c r="I9" s="1215"/>
      <c r="J9" s="716"/>
      <c r="K9" s="715"/>
      <c r="L9" s="716"/>
      <c r="M9" s="716"/>
      <c r="N9" s="715"/>
      <c r="O9" s="715"/>
      <c r="P9" s="715"/>
      <c r="Q9" s="715"/>
      <c r="R9" s="716"/>
      <c r="S9" s="717"/>
    </row>
    <row r="10" spans="1:19" s="677" customFormat="1" ht="11.25" hidden="1">
      <c r="A10" s="718" t="s">
        <v>105</v>
      </c>
      <c r="B10" s="1030">
        <v>0</v>
      </c>
      <c r="C10" s="715"/>
      <c r="D10" s="715">
        <v>0</v>
      </c>
      <c r="E10" s="715">
        <v>15089813</v>
      </c>
      <c r="F10" s="715"/>
      <c r="G10" s="715"/>
      <c r="H10" s="943"/>
      <c r="I10" s="1215">
        <f>B10+C10+D10+F10-H10</f>
        <v>0</v>
      </c>
      <c r="J10" s="716">
        <v>0</v>
      </c>
      <c r="K10" s="715">
        <v>0</v>
      </c>
      <c r="L10" s="716"/>
      <c r="M10" s="716">
        <v>15331928</v>
      </c>
      <c r="N10" s="715"/>
      <c r="O10" s="715"/>
      <c r="P10" s="715"/>
      <c r="Q10" s="715">
        <f>I10+J10+K10+L10-P10</f>
        <v>0</v>
      </c>
      <c r="R10" s="716">
        <f>I10-Q10</f>
        <v>0</v>
      </c>
      <c r="S10" s="717"/>
    </row>
    <row r="11" spans="1:19" s="677" customFormat="1" ht="11.25">
      <c r="A11" s="718" t="s">
        <v>117</v>
      </c>
      <c r="B11" s="1030">
        <v>14125006</v>
      </c>
      <c r="C11" s="715"/>
      <c r="D11" s="715">
        <v>7050000</v>
      </c>
      <c r="E11" s="715">
        <v>43468660</v>
      </c>
      <c r="F11" s="1139">
        <v>0</v>
      </c>
      <c r="G11" s="1139">
        <v>0</v>
      </c>
      <c r="H11" s="1236">
        <v>0</v>
      </c>
      <c r="I11" s="1215">
        <f>B11+C11+D11+F11-H11+G11</f>
        <v>21175006</v>
      </c>
      <c r="J11" s="1139">
        <v>0</v>
      </c>
      <c r="K11" s="1139">
        <v>0</v>
      </c>
      <c r="L11" s="1139">
        <v>0</v>
      </c>
      <c r="M11" s="1139">
        <v>0</v>
      </c>
      <c r="N11" s="1139">
        <v>0</v>
      </c>
      <c r="O11" s="1139">
        <v>0</v>
      </c>
      <c r="P11" s="1139">
        <v>0</v>
      </c>
      <c r="Q11" s="715">
        <f>J11+K11+L11-P11+O11</f>
        <v>0</v>
      </c>
      <c r="R11" s="716">
        <f>I11-Q11</f>
        <v>21175006</v>
      </c>
      <c r="S11" s="717">
        <v>10500000</v>
      </c>
    </row>
    <row r="12" spans="1:18" s="677" customFormat="1" ht="11.25">
      <c r="A12" s="718" t="s">
        <v>118</v>
      </c>
      <c r="B12" s="1030">
        <v>27518602</v>
      </c>
      <c r="C12" s="715">
        <v>0</v>
      </c>
      <c r="D12" s="1139">
        <v>0</v>
      </c>
      <c r="E12" s="715">
        <v>125660430</v>
      </c>
      <c r="F12" s="1139">
        <v>0</v>
      </c>
      <c r="G12" s="1139">
        <v>320768616</v>
      </c>
      <c r="H12" s="1236">
        <v>0</v>
      </c>
      <c r="I12" s="1215">
        <f>B12+C12+D12+F12-H12+G12</f>
        <v>348287218</v>
      </c>
      <c r="J12" s="1139">
        <v>0</v>
      </c>
      <c r="K12" s="1139">
        <v>0</v>
      </c>
      <c r="L12" s="1139">
        <v>0</v>
      </c>
      <c r="M12" s="1139">
        <v>0</v>
      </c>
      <c r="N12" s="1139">
        <v>0</v>
      </c>
      <c r="O12" s="1139">
        <v>222541674</v>
      </c>
      <c r="P12" s="1139">
        <v>0</v>
      </c>
      <c r="Q12" s="715">
        <f>J12+K12+L12-P12+O12</f>
        <v>222541674</v>
      </c>
      <c r="R12" s="716">
        <f>I12-Q12</f>
        <v>125745544</v>
      </c>
    </row>
    <row r="13" spans="1:19" s="677" customFormat="1" ht="11.25" hidden="1">
      <c r="A13" s="718" t="s">
        <v>109</v>
      </c>
      <c r="B13" s="1030"/>
      <c r="C13" s="715"/>
      <c r="D13" s="1139">
        <v>0</v>
      </c>
      <c r="E13" s="715">
        <v>127985210</v>
      </c>
      <c r="F13" s="1139">
        <v>0</v>
      </c>
      <c r="G13" s="1139"/>
      <c r="H13" s="1236">
        <v>0</v>
      </c>
      <c r="I13" s="1215">
        <f>B13+C13+D13+F13-H13</f>
        <v>0</v>
      </c>
      <c r="J13" s="716">
        <v>0</v>
      </c>
      <c r="K13" s="715">
        <v>0</v>
      </c>
      <c r="L13" s="719">
        <v>0</v>
      </c>
      <c r="M13" s="719"/>
      <c r="N13" s="715"/>
      <c r="O13" s="715"/>
      <c r="P13" s="715">
        <v>0</v>
      </c>
      <c r="Q13" s="715">
        <f>J13+K13+L13-P13</f>
        <v>0</v>
      </c>
      <c r="R13" s="716">
        <f>I13-Q13</f>
        <v>0</v>
      </c>
      <c r="S13" s="1140">
        <v>0</v>
      </c>
    </row>
    <row r="14" spans="1:19" s="677" customFormat="1" ht="9" customHeight="1">
      <c r="A14" s="718"/>
      <c r="B14" s="1030"/>
      <c r="C14" s="715"/>
      <c r="D14" s="715"/>
      <c r="E14" s="715"/>
      <c r="F14" s="715"/>
      <c r="G14" s="715"/>
      <c r="H14" s="943"/>
      <c r="I14" s="1215"/>
      <c r="J14" s="716"/>
      <c r="K14" s="715"/>
      <c r="L14" s="719"/>
      <c r="M14" s="719"/>
      <c r="N14" s="715"/>
      <c r="O14" s="715"/>
      <c r="P14" s="715"/>
      <c r="Q14" s="723"/>
      <c r="R14" s="716"/>
      <c r="S14" s="717"/>
    </row>
    <row r="15" spans="1:19" s="677" customFormat="1" ht="12" thickBot="1">
      <c r="A15" s="720"/>
      <c r="B15" s="1031">
        <f>SUM(B10:B14)</f>
        <v>41643608</v>
      </c>
      <c r="C15" s="1031">
        <f aca="true" t="shared" si="0" ref="C15:S15">SUM(C10:C14)</f>
        <v>0</v>
      </c>
      <c r="D15" s="1031">
        <f t="shared" si="0"/>
        <v>7050000</v>
      </c>
      <c r="E15" s="1031">
        <f t="shared" si="0"/>
        <v>312204113</v>
      </c>
      <c r="F15" s="1031">
        <f t="shared" si="0"/>
        <v>0</v>
      </c>
      <c r="G15" s="1031">
        <f t="shared" si="0"/>
        <v>320768616</v>
      </c>
      <c r="H15" s="1237">
        <f t="shared" si="0"/>
        <v>0</v>
      </c>
      <c r="I15" s="1216">
        <f t="shared" si="0"/>
        <v>369462224</v>
      </c>
      <c r="J15" s="1031">
        <f t="shared" si="0"/>
        <v>0</v>
      </c>
      <c r="K15" s="1031">
        <f t="shared" si="0"/>
        <v>0</v>
      </c>
      <c r="L15" s="1031">
        <f t="shared" si="0"/>
        <v>0</v>
      </c>
      <c r="M15" s="1031">
        <f t="shared" si="0"/>
        <v>15331928</v>
      </c>
      <c r="N15" s="1031">
        <f t="shared" si="0"/>
        <v>0</v>
      </c>
      <c r="O15" s="1031">
        <f t="shared" si="0"/>
        <v>222541674</v>
      </c>
      <c r="P15" s="1031">
        <f t="shared" si="0"/>
        <v>0</v>
      </c>
      <c r="Q15" s="1031">
        <f t="shared" si="0"/>
        <v>222541674</v>
      </c>
      <c r="R15" s="1031">
        <f t="shared" si="0"/>
        <v>146920550</v>
      </c>
      <c r="S15" s="1188">
        <f t="shared" si="0"/>
        <v>10500000</v>
      </c>
    </row>
    <row r="16" spans="1:19" s="677" customFormat="1" ht="8.25" customHeight="1" thickTop="1">
      <c r="A16" s="718"/>
      <c r="B16" s="1030"/>
      <c r="C16" s="715"/>
      <c r="D16" s="715"/>
      <c r="E16" s="715"/>
      <c r="F16" s="715"/>
      <c r="G16" s="715"/>
      <c r="H16" s="943"/>
      <c r="I16" s="1215"/>
      <c r="J16" s="716"/>
      <c r="K16" s="715"/>
      <c r="L16" s="719"/>
      <c r="M16" s="719"/>
      <c r="N16" s="715"/>
      <c r="O16" s="715"/>
      <c r="P16" s="715"/>
      <c r="Q16" s="715"/>
      <c r="R16" s="716"/>
      <c r="S16" s="717"/>
    </row>
    <row r="17" spans="1:19" s="677" customFormat="1" ht="11.25">
      <c r="A17" s="714" t="s">
        <v>1109</v>
      </c>
      <c r="B17" s="1030"/>
      <c r="C17" s="715"/>
      <c r="D17" s="715"/>
      <c r="E17" s="715"/>
      <c r="F17" s="715"/>
      <c r="G17" s="715"/>
      <c r="H17" s="943"/>
      <c r="I17" s="1215"/>
      <c r="J17" s="716"/>
      <c r="K17" s="715"/>
      <c r="L17" s="719"/>
      <c r="M17" s="719"/>
      <c r="N17" s="715"/>
      <c r="O17" s="715"/>
      <c r="P17" s="715"/>
      <c r="Q17" s="715"/>
      <c r="R17" s="716"/>
      <c r="S17" s="717"/>
    </row>
    <row r="18" spans="1:19" s="677" customFormat="1" ht="8.25" customHeight="1">
      <c r="A18" s="714"/>
      <c r="B18" s="1030"/>
      <c r="C18" s="715"/>
      <c r="D18" s="715"/>
      <c r="E18" s="715"/>
      <c r="F18" s="715"/>
      <c r="G18" s="715"/>
      <c r="H18" s="943"/>
      <c r="I18" s="1215"/>
      <c r="J18" s="716"/>
      <c r="K18" s="715"/>
      <c r="L18" s="719"/>
      <c r="M18" s="719"/>
      <c r="N18" s="715"/>
      <c r="O18" s="715"/>
      <c r="P18" s="715"/>
      <c r="Q18" s="715"/>
      <c r="R18" s="716"/>
      <c r="S18" s="717"/>
    </row>
    <row r="19" spans="1:19" s="677" customFormat="1" ht="11.25" hidden="1">
      <c r="A19" s="718" t="s">
        <v>1110</v>
      </c>
      <c r="B19" s="1030">
        <v>0</v>
      </c>
      <c r="C19" s="715"/>
      <c r="D19" s="715">
        <v>0</v>
      </c>
      <c r="E19" s="715">
        <v>0</v>
      </c>
      <c r="F19" s="715">
        <v>0</v>
      </c>
      <c r="G19" s="715"/>
      <c r="H19" s="943">
        <v>0</v>
      </c>
      <c r="I19" s="1215">
        <f>B19+D19+F19-H19</f>
        <v>0</v>
      </c>
      <c r="J19" s="716">
        <v>0</v>
      </c>
      <c r="K19" s="715">
        <v>0</v>
      </c>
      <c r="L19" s="719">
        <v>0</v>
      </c>
      <c r="M19" s="719"/>
      <c r="N19" s="715"/>
      <c r="O19" s="715"/>
      <c r="P19" s="715">
        <v>0</v>
      </c>
      <c r="Q19" s="715">
        <f>J19+K19+L19+N19-P19</f>
        <v>0</v>
      </c>
      <c r="R19" s="716">
        <f>I19-Q19</f>
        <v>0</v>
      </c>
      <c r="S19" s="717">
        <v>0</v>
      </c>
    </row>
    <row r="20" spans="1:19" s="677" customFormat="1" ht="11.25">
      <c r="A20" s="718" t="s">
        <v>1122</v>
      </c>
      <c r="B20" s="1030">
        <v>41361</v>
      </c>
      <c r="C20" s="715"/>
      <c r="D20" s="1139">
        <v>0</v>
      </c>
      <c r="E20" s="715">
        <v>-41361</v>
      </c>
      <c r="F20" s="1139">
        <v>0</v>
      </c>
      <c r="G20" s="1139">
        <f>-41361</f>
        <v>-41361</v>
      </c>
      <c r="H20" s="1236">
        <v>0</v>
      </c>
      <c r="I20" s="1215">
        <f aca="true" t="shared" si="1" ref="I20:I30">B20+C20+D20+F20-H20+G20</f>
        <v>0</v>
      </c>
      <c r="J20" s="716">
        <v>41360</v>
      </c>
      <c r="K20" s="1139">
        <v>0</v>
      </c>
      <c r="L20" s="1139">
        <v>0</v>
      </c>
      <c r="M20" s="1139">
        <v>-41360</v>
      </c>
      <c r="N20" s="1139">
        <v>0</v>
      </c>
      <c r="O20" s="1139">
        <f>-41360</f>
        <v>-41360</v>
      </c>
      <c r="P20" s="1139">
        <v>0</v>
      </c>
      <c r="Q20" s="715">
        <f>J20+K20+L20-P20+O20</f>
        <v>0</v>
      </c>
      <c r="R20" s="716">
        <f aca="true" t="shared" si="2" ref="R20:R30">I20-Q20</f>
        <v>0</v>
      </c>
      <c r="S20" s="1140">
        <v>0</v>
      </c>
    </row>
    <row r="21" spans="1:19" s="677" customFormat="1" ht="11.25">
      <c r="A21" s="718" t="s">
        <v>1114</v>
      </c>
      <c r="B21" s="1030">
        <v>220077764</v>
      </c>
      <c r="C21" s="715"/>
      <c r="D21" s="715">
        <v>5182256</v>
      </c>
      <c r="E21" s="715">
        <v>2046658937</v>
      </c>
      <c r="F21" s="1139">
        <v>0</v>
      </c>
      <c r="G21" s="1139">
        <v>2046658937</v>
      </c>
      <c r="H21" s="1155">
        <v>0</v>
      </c>
      <c r="I21" s="1215">
        <f t="shared" si="1"/>
        <v>2271918957</v>
      </c>
      <c r="J21" s="716">
        <v>190013843</v>
      </c>
      <c r="K21" s="715">
        <v>1246283</v>
      </c>
      <c r="L21" s="1139">
        <v>0</v>
      </c>
      <c r="M21" s="1139">
        <v>940092081</v>
      </c>
      <c r="N21" s="1139">
        <v>0</v>
      </c>
      <c r="O21" s="1139">
        <f>940092081</f>
        <v>940092081</v>
      </c>
      <c r="P21" s="1139">
        <v>0</v>
      </c>
      <c r="Q21" s="715">
        <f aca="true" t="shared" si="3" ref="Q21:Q30">J21+K21+L21-P21+O21</f>
        <v>1131352207</v>
      </c>
      <c r="R21" s="716">
        <f t="shared" si="2"/>
        <v>1140566750</v>
      </c>
      <c r="S21" s="717">
        <v>14011282</v>
      </c>
    </row>
    <row r="22" spans="1:19" s="677" customFormat="1" ht="11.25">
      <c r="A22" s="718" t="s">
        <v>1260</v>
      </c>
      <c r="B22" s="1030">
        <v>1797432</v>
      </c>
      <c r="C22" s="715"/>
      <c r="D22" s="1139">
        <v>0</v>
      </c>
      <c r="E22" s="715">
        <v>0</v>
      </c>
      <c r="F22" s="1139">
        <v>0</v>
      </c>
      <c r="G22" s="1139"/>
      <c r="H22" s="1236">
        <v>0</v>
      </c>
      <c r="I22" s="1215">
        <f t="shared" si="1"/>
        <v>1797432</v>
      </c>
      <c r="J22" s="716">
        <v>1690470</v>
      </c>
      <c r="K22" s="715">
        <v>6057</v>
      </c>
      <c r="L22" s="1139">
        <v>0</v>
      </c>
      <c r="M22" s="1139"/>
      <c r="N22" s="1139">
        <v>0</v>
      </c>
      <c r="O22" s="1139">
        <v>0</v>
      </c>
      <c r="P22" s="1139">
        <v>0</v>
      </c>
      <c r="Q22" s="715">
        <f t="shared" si="3"/>
        <v>1696527</v>
      </c>
      <c r="R22" s="716">
        <f t="shared" si="2"/>
        <v>100905</v>
      </c>
      <c r="S22" s="717">
        <v>1000000</v>
      </c>
    </row>
    <row r="23" spans="1:19" s="677" customFormat="1" ht="11.25">
      <c r="A23" s="718" t="s">
        <v>829</v>
      </c>
      <c r="B23" s="1139">
        <v>0</v>
      </c>
      <c r="C23" s="1139">
        <v>0</v>
      </c>
      <c r="D23" s="1139">
        <v>0</v>
      </c>
      <c r="E23" s="715"/>
      <c r="F23" s="715">
        <v>0</v>
      </c>
      <c r="G23" s="715"/>
      <c r="H23" s="1236">
        <v>0</v>
      </c>
      <c r="I23" s="1215">
        <f t="shared" si="1"/>
        <v>0</v>
      </c>
      <c r="J23" s="1155">
        <v>0</v>
      </c>
      <c r="K23" s="1139">
        <v>0</v>
      </c>
      <c r="L23" s="1139">
        <v>0</v>
      </c>
      <c r="M23" s="1139"/>
      <c r="N23" s="1139">
        <v>0</v>
      </c>
      <c r="O23" s="1139">
        <v>0</v>
      </c>
      <c r="P23" s="1139">
        <v>0</v>
      </c>
      <c r="Q23" s="715">
        <f t="shared" si="3"/>
        <v>0</v>
      </c>
      <c r="R23" s="716">
        <f t="shared" si="2"/>
        <v>0</v>
      </c>
      <c r="S23" s="1140">
        <v>0</v>
      </c>
    </row>
    <row r="24" spans="1:19" s="677" customFormat="1" ht="11.25">
      <c r="A24" s="718" t="s">
        <v>1121</v>
      </c>
      <c r="B24" s="1030">
        <v>4976855</v>
      </c>
      <c r="C24" s="715"/>
      <c r="D24" s="1139">
        <v>0</v>
      </c>
      <c r="E24" s="715">
        <v>-4976855</v>
      </c>
      <c r="F24" s="1139">
        <v>0</v>
      </c>
      <c r="G24" s="1139"/>
      <c r="H24" s="1236">
        <v>0</v>
      </c>
      <c r="I24" s="1215">
        <f t="shared" si="1"/>
        <v>4976855</v>
      </c>
      <c r="J24" s="716">
        <v>4976852</v>
      </c>
      <c r="K24" s="1139">
        <v>0</v>
      </c>
      <c r="L24" s="1139">
        <v>0</v>
      </c>
      <c r="M24" s="1139">
        <v>-4976852</v>
      </c>
      <c r="N24" s="1139">
        <v>0</v>
      </c>
      <c r="O24" s="1139">
        <v>-4976852</v>
      </c>
      <c r="P24" s="1139">
        <v>0</v>
      </c>
      <c r="Q24" s="715">
        <f t="shared" si="3"/>
        <v>0</v>
      </c>
      <c r="R24" s="716">
        <f t="shared" si="2"/>
        <v>4976855</v>
      </c>
      <c r="S24" s="1140">
        <v>0</v>
      </c>
    </row>
    <row r="25" spans="1:19" s="677" customFormat="1" ht="11.25">
      <c r="A25" s="718" t="s">
        <v>1117</v>
      </c>
      <c r="B25" s="1030">
        <v>0</v>
      </c>
      <c r="C25" s="715"/>
      <c r="D25" s="715">
        <v>0</v>
      </c>
      <c r="E25" s="715">
        <v>0</v>
      </c>
      <c r="F25" s="1139">
        <v>0</v>
      </c>
      <c r="G25" s="1139"/>
      <c r="H25" s="1236">
        <v>0</v>
      </c>
      <c r="I25" s="1215">
        <f t="shared" si="1"/>
        <v>0</v>
      </c>
      <c r="J25" s="1139">
        <v>0</v>
      </c>
      <c r="K25" s="1139">
        <v>0</v>
      </c>
      <c r="L25" s="1139">
        <v>0</v>
      </c>
      <c r="M25" s="1139"/>
      <c r="N25" s="1139">
        <v>0</v>
      </c>
      <c r="O25" s="1139">
        <v>0</v>
      </c>
      <c r="P25" s="1139">
        <v>0</v>
      </c>
      <c r="Q25" s="715">
        <f t="shared" si="3"/>
        <v>0</v>
      </c>
      <c r="R25" s="716">
        <f t="shared" si="2"/>
        <v>0</v>
      </c>
      <c r="S25" s="717">
        <v>16543077</v>
      </c>
    </row>
    <row r="26" spans="1:26" s="677" customFormat="1" ht="11.25">
      <c r="A26" s="718" t="s">
        <v>1111</v>
      </c>
      <c r="B26" s="1030">
        <v>340143363</v>
      </c>
      <c r="C26" s="715"/>
      <c r="D26" s="715">
        <f>10067778-50000</f>
        <v>10017778</v>
      </c>
      <c r="E26" s="715">
        <v>3688767559</v>
      </c>
      <c r="F26" s="1139">
        <v>0</v>
      </c>
      <c r="G26" s="1139">
        <v>3687661024</v>
      </c>
      <c r="H26" s="1236">
        <v>0</v>
      </c>
      <c r="I26" s="1215">
        <f t="shared" si="1"/>
        <v>4037822165</v>
      </c>
      <c r="J26" s="716">
        <v>327145985</v>
      </c>
      <c r="K26" s="715">
        <v>392724</v>
      </c>
      <c r="L26" s="1139">
        <v>0</v>
      </c>
      <c r="M26" s="1139">
        <v>618784191</v>
      </c>
      <c r="N26" s="1139">
        <v>0</v>
      </c>
      <c r="O26" s="1139">
        <v>617677658</v>
      </c>
      <c r="P26" s="1139">
        <v>0</v>
      </c>
      <c r="Q26" s="715">
        <f t="shared" si="3"/>
        <v>945216367</v>
      </c>
      <c r="R26" s="716">
        <f t="shared" si="2"/>
        <v>3092605798</v>
      </c>
      <c r="S26" s="717">
        <f>21818202+3000000</f>
        <v>24818202</v>
      </c>
      <c r="Z26" s="680" t="s">
        <v>1587</v>
      </c>
    </row>
    <row r="27" spans="1:19" s="677" customFormat="1" ht="11.25">
      <c r="A27" s="718" t="s">
        <v>983</v>
      </c>
      <c r="B27" s="1030">
        <f>692741+1</f>
        <v>692742</v>
      </c>
      <c r="C27" s="715"/>
      <c r="D27" s="715">
        <v>8886</v>
      </c>
      <c r="E27" s="715">
        <v>0</v>
      </c>
      <c r="F27" s="1139">
        <v>0</v>
      </c>
      <c r="G27" s="1139"/>
      <c r="H27" s="1236">
        <v>0</v>
      </c>
      <c r="I27" s="1215">
        <f t="shared" si="1"/>
        <v>701628</v>
      </c>
      <c r="J27" s="716">
        <v>440122</v>
      </c>
      <c r="K27" s="715">
        <v>71128</v>
      </c>
      <c r="L27" s="1139">
        <v>0</v>
      </c>
      <c r="M27" s="1139"/>
      <c r="N27" s="1139">
        <v>0</v>
      </c>
      <c r="O27" s="1139">
        <v>0</v>
      </c>
      <c r="P27" s="1139">
        <v>0</v>
      </c>
      <c r="Q27" s="715">
        <f t="shared" si="3"/>
        <v>511250</v>
      </c>
      <c r="R27" s="716">
        <f t="shared" si="2"/>
        <v>190378</v>
      </c>
      <c r="S27" s="717">
        <v>666649</v>
      </c>
    </row>
    <row r="28" spans="1:26" s="677" customFormat="1" ht="11.25">
      <c r="A28" s="718" t="s">
        <v>981</v>
      </c>
      <c r="B28" s="1030">
        <v>177158214</v>
      </c>
      <c r="C28" s="715"/>
      <c r="D28" s="715">
        <v>24919585</v>
      </c>
      <c r="E28" s="715">
        <v>359549165</v>
      </c>
      <c r="F28" s="715">
        <v>4364</v>
      </c>
      <c r="G28" s="715">
        <f>359549164-F28+1</f>
        <v>359544801</v>
      </c>
      <c r="H28" s="1238">
        <v>0</v>
      </c>
      <c r="I28" s="1215">
        <f t="shared" si="1"/>
        <v>561626964</v>
      </c>
      <c r="J28" s="716">
        <v>161234540</v>
      </c>
      <c r="K28" s="715">
        <v>1019964</v>
      </c>
      <c r="L28" s="1139">
        <v>0</v>
      </c>
      <c r="M28" s="1139">
        <v>42070767</v>
      </c>
      <c r="N28" s="1139">
        <v>0</v>
      </c>
      <c r="O28" s="1139">
        <v>42070767</v>
      </c>
      <c r="P28" s="1139">
        <v>0</v>
      </c>
      <c r="Q28" s="715">
        <f t="shared" si="3"/>
        <v>204325271</v>
      </c>
      <c r="R28" s="716">
        <f t="shared" si="2"/>
        <v>357301693</v>
      </c>
      <c r="S28" s="717">
        <v>28702757</v>
      </c>
      <c r="Z28" s="680" t="s">
        <v>1587</v>
      </c>
    </row>
    <row r="29" spans="1:26" s="677" customFormat="1" ht="11.25">
      <c r="A29" s="718" t="s">
        <v>982</v>
      </c>
      <c r="B29" s="1030">
        <v>182535206</v>
      </c>
      <c r="C29" s="715"/>
      <c r="D29" s="715">
        <v>26275634</v>
      </c>
      <c r="E29" s="715">
        <v>81577637</v>
      </c>
      <c r="F29" s="1139">
        <v>0</v>
      </c>
      <c r="G29" s="1139"/>
      <c r="H29" s="1236">
        <v>0</v>
      </c>
      <c r="I29" s="1215">
        <f t="shared" si="1"/>
        <v>208810840</v>
      </c>
      <c r="J29" s="716">
        <v>159163632</v>
      </c>
      <c r="K29" s="715">
        <v>1169702</v>
      </c>
      <c r="L29" s="1139">
        <v>0</v>
      </c>
      <c r="M29" s="1139">
        <v>-40656407</v>
      </c>
      <c r="N29" s="1139">
        <v>0</v>
      </c>
      <c r="O29" s="1139">
        <v>0</v>
      </c>
      <c r="P29" s="1139">
        <v>0</v>
      </c>
      <c r="Q29" s="715">
        <f t="shared" si="3"/>
        <v>160333334</v>
      </c>
      <c r="R29" s="716">
        <f t="shared" si="2"/>
        <v>48477506</v>
      </c>
      <c r="S29" s="717">
        <v>28305153</v>
      </c>
      <c r="Z29" s="680" t="s">
        <v>1587</v>
      </c>
    </row>
    <row r="30" spans="1:26" s="677" customFormat="1" ht="11.25">
      <c r="A30" s="718" t="s">
        <v>1119</v>
      </c>
      <c r="B30" s="1030">
        <f>37195864-1</f>
        <v>37195863</v>
      </c>
      <c r="C30" s="715"/>
      <c r="D30" s="715">
        <v>14011773</v>
      </c>
      <c r="E30" s="715">
        <v>0</v>
      </c>
      <c r="F30" s="1139">
        <v>0</v>
      </c>
      <c r="G30" s="1139">
        <v>81623363</v>
      </c>
      <c r="H30" s="1236">
        <v>0</v>
      </c>
      <c r="I30" s="1215">
        <f t="shared" si="1"/>
        <v>132830999</v>
      </c>
      <c r="J30" s="715">
        <v>16824329</v>
      </c>
      <c r="K30" s="715">
        <v>1827971</v>
      </c>
      <c r="L30" s="1139">
        <v>0</v>
      </c>
      <c r="M30" s="1139"/>
      <c r="N30" s="1139">
        <v>0</v>
      </c>
      <c r="O30" s="1139">
        <v>-35638196</v>
      </c>
      <c r="P30" s="1139">
        <v>0</v>
      </c>
      <c r="Q30" s="715">
        <f t="shared" si="3"/>
        <v>-16985896</v>
      </c>
      <c r="R30" s="716">
        <f t="shared" si="2"/>
        <v>149816895</v>
      </c>
      <c r="S30" s="717">
        <v>9093333</v>
      </c>
      <c r="Z30" s="680"/>
    </row>
    <row r="31" spans="1:19" s="677" customFormat="1" ht="9" customHeight="1">
      <c r="A31" s="718"/>
      <c r="B31" s="1030"/>
      <c r="C31" s="715"/>
      <c r="D31" s="715"/>
      <c r="E31" s="715"/>
      <c r="F31" s="715"/>
      <c r="G31" s="715"/>
      <c r="H31" s="943"/>
      <c r="I31" s="1215"/>
      <c r="J31" s="716"/>
      <c r="K31" s="715"/>
      <c r="L31" s="719"/>
      <c r="M31" s="719"/>
      <c r="N31" s="715"/>
      <c r="O31" s="715"/>
      <c r="P31" s="715"/>
      <c r="Q31" s="715"/>
      <c r="R31" s="716"/>
      <c r="S31" s="717"/>
    </row>
    <row r="32" spans="1:27" s="1184" customFormat="1" ht="12" thickBot="1">
      <c r="A32" s="722"/>
      <c r="B32" s="1032">
        <f>SUM(B19:B31)</f>
        <v>964618800</v>
      </c>
      <c r="C32" s="946">
        <f aca="true" t="shared" si="4" ref="C32:P32">SUM(C19:C31)</f>
        <v>0</v>
      </c>
      <c r="D32" s="948">
        <f t="shared" si="4"/>
        <v>80415912</v>
      </c>
      <c r="E32" s="946">
        <f>SUM(E20:E31)</f>
        <v>6171535082</v>
      </c>
      <c r="F32" s="948">
        <f t="shared" si="4"/>
        <v>4364</v>
      </c>
      <c r="G32" s="948">
        <f t="shared" si="4"/>
        <v>6175446764</v>
      </c>
      <c r="H32" s="1239">
        <v>0</v>
      </c>
      <c r="I32" s="1217">
        <f t="shared" si="4"/>
        <v>7220485840</v>
      </c>
      <c r="J32" s="946">
        <f t="shared" si="4"/>
        <v>861531133</v>
      </c>
      <c r="K32" s="946">
        <f t="shared" si="4"/>
        <v>5733829</v>
      </c>
      <c r="L32" s="946">
        <f t="shared" si="4"/>
        <v>0</v>
      </c>
      <c r="M32" s="946"/>
      <c r="N32" s="946">
        <f t="shared" si="4"/>
        <v>0</v>
      </c>
      <c r="O32" s="946">
        <f t="shared" si="4"/>
        <v>1559184098</v>
      </c>
      <c r="P32" s="946">
        <f t="shared" si="4"/>
        <v>0</v>
      </c>
      <c r="Q32" s="946">
        <f>SUM(Q19:Q31)</f>
        <v>2426449060</v>
      </c>
      <c r="R32" s="946">
        <f>SUM(R19:R31)</f>
        <v>4794036780</v>
      </c>
      <c r="S32" s="1038">
        <f>SUM(S19:S31)</f>
        <v>123140453</v>
      </c>
      <c r="Z32" s="1185" t="s">
        <v>1587</v>
      </c>
      <c r="AA32" s="1185" t="s">
        <v>1587</v>
      </c>
    </row>
    <row r="33" spans="1:19" s="677" customFormat="1" ht="9" customHeight="1" thickTop="1">
      <c r="A33" s="718"/>
      <c r="B33" s="1030"/>
      <c r="C33" s="715"/>
      <c r="D33" s="715"/>
      <c r="E33" s="715"/>
      <c r="F33" s="715"/>
      <c r="G33" s="715"/>
      <c r="H33" s="943"/>
      <c r="I33" s="1215"/>
      <c r="J33" s="716"/>
      <c r="K33" s="715"/>
      <c r="L33" s="719"/>
      <c r="M33" s="719"/>
      <c r="N33" s="715"/>
      <c r="O33" s="715"/>
      <c r="P33" s="715"/>
      <c r="Q33" s="715"/>
      <c r="R33" s="716"/>
      <c r="S33" s="717"/>
    </row>
    <row r="34" spans="1:19" s="677" customFormat="1" ht="11.25">
      <c r="A34" s="714" t="s">
        <v>1124</v>
      </c>
      <c r="B34" s="1030"/>
      <c r="C34" s="715"/>
      <c r="D34" s="715"/>
      <c r="E34" s="715"/>
      <c r="F34" s="715"/>
      <c r="G34" s="715"/>
      <c r="H34" s="943"/>
      <c r="I34" s="1215"/>
      <c r="J34" s="716"/>
      <c r="K34" s="715"/>
      <c r="L34" s="719"/>
      <c r="M34" s="719"/>
      <c r="N34" s="715"/>
      <c r="O34" s="715"/>
      <c r="P34" s="715"/>
      <c r="Q34" s="715"/>
      <c r="R34" s="716"/>
      <c r="S34" s="717"/>
    </row>
    <row r="35" spans="1:19" s="677" customFormat="1" ht="8.25" customHeight="1">
      <c r="A35" s="714"/>
      <c r="B35" s="1030"/>
      <c r="C35" s="715"/>
      <c r="D35" s="715"/>
      <c r="E35" s="715"/>
      <c r="F35" s="715"/>
      <c r="G35" s="715"/>
      <c r="H35" s="943"/>
      <c r="I35" s="1215"/>
      <c r="J35" s="716"/>
      <c r="K35" s="715"/>
      <c r="L35" s="719"/>
      <c r="M35" s="719"/>
      <c r="N35" s="715"/>
      <c r="O35" s="715"/>
      <c r="P35" s="715"/>
      <c r="Q35" s="715"/>
      <c r="R35" s="716"/>
      <c r="S35" s="717"/>
    </row>
    <row r="36" spans="1:19" s="677" customFormat="1" ht="11.25">
      <c r="A36" s="718" t="s">
        <v>984</v>
      </c>
      <c r="B36" s="1030">
        <v>4262860</v>
      </c>
      <c r="C36" s="715"/>
      <c r="D36" s="715">
        <v>884413</v>
      </c>
      <c r="E36" s="715">
        <v>27847210</v>
      </c>
      <c r="F36" s="1139">
        <v>0</v>
      </c>
      <c r="G36" s="1139">
        <v>27847210</v>
      </c>
      <c r="H36" s="1236">
        <v>0</v>
      </c>
      <c r="I36" s="1215">
        <f aca="true" t="shared" si="5" ref="I36:I43">B36+C36+D36+F36-H36+G36</f>
        <v>32994483</v>
      </c>
      <c r="J36" s="1139">
        <v>0</v>
      </c>
      <c r="K36" s="1139">
        <v>0</v>
      </c>
      <c r="L36" s="1139">
        <v>0</v>
      </c>
      <c r="M36" s="1139">
        <v>23378115</v>
      </c>
      <c r="N36" s="1139">
        <v>0</v>
      </c>
      <c r="O36" s="1139">
        <v>23378115</v>
      </c>
      <c r="P36" s="1139">
        <v>0</v>
      </c>
      <c r="Q36" s="715">
        <f aca="true" t="shared" si="6" ref="Q36:Q43">J36+K36+L36-P36+O36</f>
        <v>23378115</v>
      </c>
      <c r="R36" s="716">
        <f aca="true" t="shared" si="7" ref="R36:R43">I36-Q36</f>
        <v>9616368</v>
      </c>
      <c r="S36" s="717">
        <v>1350089</v>
      </c>
    </row>
    <row r="37" spans="1:19" s="677" customFormat="1" ht="11.25">
      <c r="A37" s="718" t="s">
        <v>1126</v>
      </c>
      <c r="B37" s="1030">
        <v>11000433</v>
      </c>
      <c r="C37" s="715"/>
      <c r="D37" s="1139">
        <v>0</v>
      </c>
      <c r="E37" s="715">
        <v>-11000433</v>
      </c>
      <c r="F37" s="1139">
        <v>0</v>
      </c>
      <c r="G37" s="1139">
        <f>-11000433</f>
        <v>-11000433</v>
      </c>
      <c r="H37" s="1236">
        <v>0</v>
      </c>
      <c r="I37" s="1215">
        <f t="shared" si="5"/>
        <v>0</v>
      </c>
      <c r="J37" s="1139">
        <v>0</v>
      </c>
      <c r="K37" s="1139">
        <v>0</v>
      </c>
      <c r="L37" s="1139">
        <v>0</v>
      </c>
      <c r="M37" s="1139"/>
      <c r="N37" s="1139">
        <v>0</v>
      </c>
      <c r="O37" s="1139">
        <v>0</v>
      </c>
      <c r="P37" s="1139">
        <v>0</v>
      </c>
      <c r="Q37" s="715">
        <f t="shared" si="6"/>
        <v>0</v>
      </c>
      <c r="R37" s="716">
        <f t="shared" si="7"/>
        <v>0</v>
      </c>
      <c r="S37" s="717">
        <v>395000</v>
      </c>
    </row>
    <row r="38" spans="1:19" s="677" customFormat="1" ht="11.25">
      <c r="A38" s="718" t="s">
        <v>985</v>
      </c>
      <c r="B38" s="1030">
        <f>335679+66103539+625385</f>
        <v>67064603</v>
      </c>
      <c r="C38" s="715"/>
      <c r="D38" s="715">
        <v>2792707</v>
      </c>
      <c r="E38" s="715">
        <v>249250878</v>
      </c>
      <c r="F38" s="1139">
        <v>0</v>
      </c>
      <c r="G38" s="1139">
        <v>249250878</v>
      </c>
      <c r="H38" s="1236">
        <v>0</v>
      </c>
      <c r="I38" s="1215">
        <f t="shared" si="5"/>
        <v>319108188</v>
      </c>
      <c r="J38" s="716">
        <v>13774312</v>
      </c>
      <c r="K38" s="715">
        <v>29375</v>
      </c>
      <c r="L38" s="1139">
        <v>0</v>
      </c>
      <c r="M38" s="1139">
        <v>195673532</v>
      </c>
      <c r="N38" s="1139">
        <v>0</v>
      </c>
      <c r="O38" s="1139">
        <v>195673532</v>
      </c>
      <c r="P38" s="1139">
        <v>0</v>
      </c>
      <c r="Q38" s="715">
        <f t="shared" si="6"/>
        <v>209477219</v>
      </c>
      <c r="R38" s="716">
        <f t="shared" si="7"/>
        <v>109630969</v>
      </c>
      <c r="S38" s="717">
        <v>5693874</v>
      </c>
    </row>
    <row r="39" spans="1:19" s="677" customFormat="1" ht="11.25">
      <c r="A39" s="718" t="s">
        <v>986</v>
      </c>
      <c r="B39" s="1030">
        <f>557463+19556723+5116292+71993365</f>
        <v>97223843</v>
      </c>
      <c r="C39" s="715"/>
      <c r="D39" s="715">
        <v>4094563</v>
      </c>
      <c r="E39" s="715">
        <v>127985210</v>
      </c>
      <c r="F39" s="1139">
        <v>0</v>
      </c>
      <c r="G39" s="1139">
        <v>86000870</v>
      </c>
      <c r="H39" s="1236">
        <v>0</v>
      </c>
      <c r="I39" s="1215">
        <f t="shared" si="5"/>
        <v>187319276</v>
      </c>
      <c r="J39" s="1139">
        <v>0</v>
      </c>
      <c r="K39" s="1139">
        <v>0</v>
      </c>
      <c r="L39" s="1139">
        <v>0</v>
      </c>
      <c r="M39" s="1139">
        <v>97663381</v>
      </c>
      <c r="N39" s="1139">
        <v>0</v>
      </c>
      <c r="O39" s="1139">
        <v>60650692</v>
      </c>
      <c r="P39" s="1139">
        <v>0</v>
      </c>
      <c r="Q39" s="715">
        <f t="shared" si="6"/>
        <v>60650692</v>
      </c>
      <c r="R39" s="716">
        <f t="shared" si="7"/>
        <v>126668584</v>
      </c>
      <c r="S39" s="717">
        <v>5051359</v>
      </c>
    </row>
    <row r="40" spans="1:26" s="677" customFormat="1" ht="11.25">
      <c r="A40" s="718" t="s">
        <v>1130</v>
      </c>
      <c r="B40" s="1030">
        <v>4249854</v>
      </c>
      <c r="C40" s="715"/>
      <c r="D40" s="1139">
        <v>0</v>
      </c>
      <c r="E40" s="715">
        <v>29816469</v>
      </c>
      <c r="F40" s="1139">
        <v>0</v>
      </c>
      <c r="G40" s="1139">
        <v>29816469</v>
      </c>
      <c r="H40" s="1236">
        <v>0</v>
      </c>
      <c r="I40" s="1215">
        <f t="shared" si="5"/>
        <v>34066323</v>
      </c>
      <c r="J40" s="1139">
        <v>0</v>
      </c>
      <c r="K40" s="1139">
        <v>0</v>
      </c>
      <c r="L40" s="1139">
        <v>0</v>
      </c>
      <c r="M40" s="1139">
        <v>18811261</v>
      </c>
      <c r="N40" s="1139">
        <v>0</v>
      </c>
      <c r="O40" s="1139">
        <v>18811261</v>
      </c>
      <c r="P40" s="1139">
        <v>0</v>
      </c>
      <c r="Q40" s="715">
        <f t="shared" si="6"/>
        <v>18811261</v>
      </c>
      <c r="R40" s="716">
        <f t="shared" si="7"/>
        <v>15255062</v>
      </c>
      <c r="S40" s="717">
        <v>3500000</v>
      </c>
      <c r="Z40" s="680"/>
    </row>
    <row r="41" spans="1:19" s="1186" customFormat="1" ht="11.25">
      <c r="A41" s="718" t="s">
        <v>1131</v>
      </c>
      <c r="B41" s="1030">
        <v>8559874</v>
      </c>
      <c r="C41" s="715"/>
      <c r="D41" s="715">
        <v>1730766</v>
      </c>
      <c r="E41" s="715">
        <v>21122832</v>
      </c>
      <c r="F41" s="1139">
        <v>0</v>
      </c>
      <c r="G41" s="1139">
        <v>21122832</v>
      </c>
      <c r="H41" s="1236">
        <v>0</v>
      </c>
      <c r="I41" s="1215">
        <f t="shared" si="5"/>
        <v>31413472</v>
      </c>
      <c r="J41" s="1139">
        <v>0</v>
      </c>
      <c r="K41" s="1139">
        <v>0</v>
      </c>
      <c r="L41" s="1139">
        <v>0</v>
      </c>
      <c r="M41" s="1139">
        <v>16999374</v>
      </c>
      <c r="N41" s="1139">
        <v>0</v>
      </c>
      <c r="O41" s="1139">
        <v>16999374</v>
      </c>
      <c r="P41" s="1139">
        <v>0</v>
      </c>
      <c r="Q41" s="715">
        <f t="shared" si="6"/>
        <v>16999374</v>
      </c>
      <c r="R41" s="716">
        <f t="shared" si="7"/>
        <v>14414098</v>
      </c>
      <c r="S41" s="717">
        <v>2450248</v>
      </c>
    </row>
    <row r="42" spans="1:19" s="677" customFormat="1" ht="11.25">
      <c r="A42" s="718" t="s">
        <v>1133</v>
      </c>
      <c r="B42" s="1030">
        <f>3136174+720959</f>
        <v>3857133</v>
      </c>
      <c r="C42" s="715"/>
      <c r="D42" s="1139">
        <v>0</v>
      </c>
      <c r="E42" s="715">
        <v>0</v>
      </c>
      <c r="F42" s="1139">
        <v>0</v>
      </c>
      <c r="G42" s="1139">
        <f>-10827778</f>
        <v>-10827778</v>
      </c>
      <c r="H42" s="1236">
        <v>0</v>
      </c>
      <c r="I42" s="1215">
        <f t="shared" si="5"/>
        <v>-6970645</v>
      </c>
      <c r="J42" s="1139">
        <v>0</v>
      </c>
      <c r="K42" s="1139">
        <v>0</v>
      </c>
      <c r="L42" s="1139">
        <v>0</v>
      </c>
      <c r="M42" s="1139"/>
      <c r="N42" s="1139">
        <v>0</v>
      </c>
      <c r="O42" s="1139">
        <f>-670119</f>
        <v>-670119</v>
      </c>
      <c r="P42" s="1139">
        <v>0</v>
      </c>
      <c r="Q42" s="715">
        <f t="shared" si="6"/>
        <v>-670119</v>
      </c>
      <c r="R42" s="716">
        <f t="shared" si="7"/>
        <v>-6300526</v>
      </c>
      <c r="S42" s="1140">
        <v>0</v>
      </c>
    </row>
    <row r="43" spans="1:19" s="677" customFormat="1" ht="11.25">
      <c r="A43" s="718" t="s">
        <v>1261</v>
      </c>
      <c r="B43" s="1139">
        <v>0</v>
      </c>
      <c r="C43" s="715"/>
      <c r="D43" s="1139">
        <v>0</v>
      </c>
      <c r="E43" s="715">
        <v>0</v>
      </c>
      <c r="F43" s="1139">
        <v>0</v>
      </c>
      <c r="G43" s="1139">
        <v>0</v>
      </c>
      <c r="H43" s="1236">
        <v>0</v>
      </c>
      <c r="I43" s="1215">
        <f t="shared" si="5"/>
        <v>0</v>
      </c>
      <c r="J43" s="1139">
        <v>0</v>
      </c>
      <c r="K43" s="1139">
        <v>0</v>
      </c>
      <c r="L43" s="1139">
        <v>0</v>
      </c>
      <c r="M43" s="1139"/>
      <c r="N43" s="1139">
        <v>0</v>
      </c>
      <c r="O43" s="1139">
        <v>0</v>
      </c>
      <c r="P43" s="1139">
        <v>0</v>
      </c>
      <c r="Q43" s="715">
        <f t="shared" si="6"/>
        <v>0</v>
      </c>
      <c r="R43" s="716">
        <f t="shared" si="7"/>
        <v>0</v>
      </c>
      <c r="S43" s="1140">
        <v>0</v>
      </c>
    </row>
    <row r="44" spans="1:19" s="677" customFormat="1" ht="8.25" customHeight="1">
      <c r="A44" s="718"/>
      <c r="B44" s="1030"/>
      <c r="C44" s="715"/>
      <c r="D44" s="715"/>
      <c r="E44" s="723"/>
      <c r="F44" s="715"/>
      <c r="G44" s="715"/>
      <c r="H44" s="943"/>
      <c r="I44" s="1215"/>
      <c r="J44" s="716"/>
      <c r="K44" s="715"/>
      <c r="L44" s="719"/>
      <c r="M44" s="719"/>
      <c r="N44" s="715"/>
      <c r="O44" s="715"/>
      <c r="P44" s="715"/>
      <c r="Q44" s="715"/>
      <c r="R44" s="716"/>
      <c r="S44" s="717"/>
    </row>
    <row r="45" spans="1:19" s="677" customFormat="1" ht="12" thickBot="1">
      <c r="A45" s="720"/>
      <c r="B45" s="1032">
        <f aca="true" t="shared" si="8" ref="B45:H45">SUM(B36:B43)</f>
        <v>196218600</v>
      </c>
      <c r="C45" s="946">
        <f t="shared" si="8"/>
        <v>0</v>
      </c>
      <c r="D45" s="946">
        <f t="shared" si="8"/>
        <v>9502449</v>
      </c>
      <c r="E45" s="946">
        <f t="shared" si="8"/>
        <v>445022166</v>
      </c>
      <c r="F45" s="946">
        <f t="shared" si="8"/>
        <v>0</v>
      </c>
      <c r="G45" s="948">
        <f t="shared" si="8"/>
        <v>392210048</v>
      </c>
      <c r="H45" s="945">
        <f t="shared" si="8"/>
        <v>0</v>
      </c>
      <c r="I45" s="1217">
        <f>SUM(I36:I43)</f>
        <v>597931097</v>
      </c>
      <c r="J45" s="946">
        <f>SUM(J36:J43)</f>
        <v>13774312</v>
      </c>
      <c r="K45" s="946">
        <f aca="true" t="shared" si="9" ref="K45:S45">SUM(K36:K43)</f>
        <v>29375</v>
      </c>
      <c r="L45" s="949">
        <f t="shared" si="9"/>
        <v>0</v>
      </c>
      <c r="M45" s="949"/>
      <c r="N45" s="946">
        <f t="shared" si="9"/>
        <v>0</v>
      </c>
      <c r="O45" s="949">
        <f t="shared" si="9"/>
        <v>314842855</v>
      </c>
      <c r="P45" s="946">
        <f t="shared" si="9"/>
        <v>0</v>
      </c>
      <c r="Q45" s="949">
        <f t="shared" si="9"/>
        <v>328646542</v>
      </c>
      <c r="R45" s="949">
        <f t="shared" si="9"/>
        <v>269284555</v>
      </c>
      <c r="S45" s="1038">
        <f t="shared" si="9"/>
        <v>18440570</v>
      </c>
    </row>
    <row r="46" spans="1:19" s="677" customFormat="1" ht="9.75" customHeight="1" thickTop="1">
      <c r="A46" s="718"/>
      <c r="B46" s="1030"/>
      <c r="C46" s="715"/>
      <c r="D46" s="715"/>
      <c r="E46" s="715"/>
      <c r="F46" s="715"/>
      <c r="G46" s="715"/>
      <c r="H46" s="943"/>
      <c r="I46" s="1215"/>
      <c r="J46" s="716"/>
      <c r="K46" s="715"/>
      <c r="L46" s="719"/>
      <c r="M46" s="719"/>
      <c r="N46" s="715"/>
      <c r="O46" s="715"/>
      <c r="P46" s="715"/>
      <c r="Q46" s="715"/>
      <c r="R46" s="716"/>
      <c r="S46" s="717"/>
    </row>
    <row r="47" spans="1:19" s="677" customFormat="1" ht="11.25">
      <c r="A47" s="714" t="s">
        <v>987</v>
      </c>
      <c r="B47" s="1030"/>
      <c r="C47" s="715"/>
      <c r="D47" s="715"/>
      <c r="E47" s="715"/>
      <c r="F47" s="715"/>
      <c r="G47" s="715"/>
      <c r="H47" s="943"/>
      <c r="I47" s="1215"/>
      <c r="J47" s="716"/>
      <c r="K47" s="715"/>
      <c r="L47" s="719"/>
      <c r="M47" s="719"/>
      <c r="N47" s="715"/>
      <c r="O47" s="715"/>
      <c r="P47" s="715"/>
      <c r="Q47" s="715"/>
      <c r="R47" s="716"/>
      <c r="S47" s="717"/>
    </row>
    <row r="48" spans="1:19" s="677" customFormat="1" ht="9" customHeight="1">
      <c r="A48" s="714"/>
      <c r="B48" s="1030"/>
      <c r="C48" s="715"/>
      <c r="D48" s="715"/>
      <c r="E48" s="715"/>
      <c r="F48" s="715"/>
      <c r="G48" s="715"/>
      <c r="H48" s="943"/>
      <c r="I48" s="1215"/>
      <c r="J48" s="716"/>
      <c r="K48" s="715"/>
      <c r="L48" s="719"/>
      <c r="M48" s="719"/>
      <c r="N48" s="715"/>
      <c r="O48" s="715"/>
      <c r="P48" s="715"/>
      <c r="Q48" s="715"/>
      <c r="R48" s="716"/>
      <c r="S48" s="717"/>
    </row>
    <row r="49" spans="1:19" s="677" customFormat="1" ht="11.25">
      <c r="A49" s="718" t="s">
        <v>1134</v>
      </c>
      <c r="B49" s="1030">
        <v>0</v>
      </c>
      <c r="C49" s="715"/>
      <c r="D49" s="1139">
        <v>0</v>
      </c>
      <c r="E49" s="715">
        <v>0</v>
      </c>
      <c r="F49" s="715"/>
      <c r="G49" s="715">
        <v>0</v>
      </c>
      <c r="H49" s="943">
        <v>0</v>
      </c>
      <c r="I49" s="1215">
        <f>B49+C49+D49+F49-H49+G49</f>
        <v>0</v>
      </c>
      <c r="J49" s="716">
        <v>0</v>
      </c>
      <c r="K49" s="715">
        <v>0</v>
      </c>
      <c r="L49" s="719">
        <v>0</v>
      </c>
      <c r="M49" s="719"/>
      <c r="N49" s="715"/>
      <c r="O49" s="715">
        <v>0</v>
      </c>
      <c r="P49" s="715">
        <v>0</v>
      </c>
      <c r="Q49" s="715">
        <f>J49+K49+L49-P49+O49</f>
        <v>0</v>
      </c>
      <c r="R49" s="716">
        <f>I49-Q49</f>
        <v>0</v>
      </c>
      <c r="S49" s="1140">
        <v>0</v>
      </c>
    </row>
    <row r="50" spans="1:19" s="677" customFormat="1" ht="11.25">
      <c r="A50" s="718" t="s">
        <v>1262</v>
      </c>
      <c r="B50" s="1030">
        <f>9600+3498</f>
        <v>13098</v>
      </c>
      <c r="C50" s="715"/>
      <c r="D50" s="1139">
        <v>0</v>
      </c>
      <c r="E50" s="715">
        <v>0</v>
      </c>
      <c r="F50" s="715">
        <v>-3498</v>
      </c>
      <c r="G50" s="715">
        <v>0</v>
      </c>
      <c r="H50" s="943">
        <v>0</v>
      </c>
      <c r="I50" s="1215">
        <f>B50+C50+D50+F50-H50+G50</f>
        <v>9600</v>
      </c>
      <c r="J50" s="716">
        <v>0</v>
      </c>
      <c r="K50" s="715">
        <v>0</v>
      </c>
      <c r="L50" s="719">
        <v>0</v>
      </c>
      <c r="M50" s="719"/>
      <c r="N50" s="715"/>
      <c r="O50" s="715">
        <v>0</v>
      </c>
      <c r="P50" s="715">
        <v>0</v>
      </c>
      <c r="Q50" s="715">
        <f>J50+K50+L50-P50+O50</f>
        <v>0</v>
      </c>
      <c r="R50" s="716">
        <f>I50-Q50</f>
        <v>9600</v>
      </c>
      <c r="S50" s="1140">
        <v>0</v>
      </c>
    </row>
    <row r="51" spans="1:19" s="677" customFormat="1" ht="9" customHeight="1">
      <c r="A51" s="718"/>
      <c r="B51" s="1030"/>
      <c r="C51" s="715"/>
      <c r="D51" s="715"/>
      <c r="E51" s="715"/>
      <c r="F51" s="715"/>
      <c r="G51" s="715"/>
      <c r="H51" s="943"/>
      <c r="I51" s="1215"/>
      <c r="J51" s="716"/>
      <c r="K51" s="715"/>
      <c r="L51" s="719"/>
      <c r="M51" s="719"/>
      <c r="N51" s="715"/>
      <c r="O51" s="715"/>
      <c r="P51" s="715"/>
      <c r="Q51" s="715"/>
      <c r="R51" s="716"/>
      <c r="S51" s="1140">
        <v>0</v>
      </c>
    </row>
    <row r="52" spans="1:19" s="677" customFormat="1" ht="12" thickBot="1">
      <c r="A52" s="720"/>
      <c r="B52" s="1032">
        <f aca="true" t="shared" si="10" ref="B52:H52">SUM(B49:B51)</f>
        <v>13098</v>
      </c>
      <c r="C52" s="946">
        <f t="shared" si="10"/>
        <v>0</v>
      </c>
      <c r="D52" s="946">
        <f t="shared" si="10"/>
        <v>0</v>
      </c>
      <c r="E52" s="946">
        <f t="shared" si="10"/>
        <v>0</v>
      </c>
      <c r="F52" s="948">
        <f t="shared" si="10"/>
        <v>-3498</v>
      </c>
      <c r="G52" s="946">
        <f t="shared" si="10"/>
        <v>0</v>
      </c>
      <c r="H52" s="945">
        <f t="shared" si="10"/>
        <v>0</v>
      </c>
      <c r="I52" s="1217">
        <f>SUM(I49:I51)</f>
        <v>9600</v>
      </c>
      <c r="J52" s="946">
        <f aca="true" t="shared" si="11" ref="J52:R52">SUM(J49:J51)</f>
        <v>0</v>
      </c>
      <c r="K52" s="946">
        <f t="shared" si="11"/>
        <v>0</v>
      </c>
      <c r="L52" s="949">
        <f t="shared" si="11"/>
        <v>0</v>
      </c>
      <c r="M52" s="949"/>
      <c r="N52" s="946">
        <f t="shared" si="11"/>
        <v>0</v>
      </c>
      <c r="O52" s="949">
        <f t="shared" si="11"/>
        <v>0</v>
      </c>
      <c r="P52" s="946">
        <f t="shared" si="11"/>
        <v>0</v>
      </c>
      <c r="Q52" s="949">
        <f t="shared" si="11"/>
        <v>0</v>
      </c>
      <c r="R52" s="949">
        <f t="shared" si="11"/>
        <v>9600</v>
      </c>
      <c r="S52" s="1141">
        <v>0</v>
      </c>
    </row>
    <row r="53" spans="1:19" s="677" customFormat="1" ht="9" customHeight="1" thickTop="1">
      <c r="A53" s="718"/>
      <c r="B53" s="1030"/>
      <c r="C53" s="715"/>
      <c r="D53" s="715"/>
      <c r="E53" s="715"/>
      <c r="F53" s="715"/>
      <c r="G53" s="715"/>
      <c r="H53" s="943"/>
      <c r="I53" s="1215"/>
      <c r="J53" s="716"/>
      <c r="K53" s="715"/>
      <c r="L53" s="719"/>
      <c r="M53" s="719"/>
      <c r="N53" s="715"/>
      <c r="O53" s="715"/>
      <c r="P53" s="715"/>
      <c r="Q53" s="715"/>
      <c r="R53" s="716"/>
      <c r="S53" s="717"/>
    </row>
    <row r="54" spans="1:19" s="677" customFormat="1" ht="11.25">
      <c r="A54" s="714" t="s">
        <v>989</v>
      </c>
      <c r="B54" s="1030"/>
      <c r="C54" s="715"/>
      <c r="D54" s="715"/>
      <c r="E54" s="715"/>
      <c r="F54" s="715"/>
      <c r="G54" s="715"/>
      <c r="H54" s="943"/>
      <c r="I54" s="1215"/>
      <c r="J54" s="716"/>
      <c r="K54" s="715"/>
      <c r="L54" s="719"/>
      <c r="M54" s="719"/>
      <c r="N54" s="715"/>
      <c r="O54" s="715"/>
      <c r="P54" s="715"/>
      <c r="Q54" s="715"/>
      <c r="R54" s="716"/>
      <c r="S54" s="717"/>
    </row>
    <row r="55" spans="1:19" s="677" customFormat="1" ht="8.25" customHeight="1">
      <c r="A55" s="714"/>
      <c r="B55" s="1030"/>
      <c r="C55" s="715"/>
      <c r="D55" s="715"/>
      <c r="E55" s="715"/>
      <c r="F55" s="715"/>
      <c r="G55" s="715"/>
      <c r="H55" s="943"/>
      <c r="I55" s="1215"/>
      <c r="J55" s="716"/>
      <c r="K55" s="715"/>
      <c r="L55" s="719"/>
      <c r="M55" s="719"/>
      <c r="N55" s="715"/>
      <c r="O55" s="715"/>
      <c r="P55" s="715"/>
      <c r="Q55" s="715"/>
      <c r="R55" s="716"/>
      <c r="S55" s="717"/>
    </row>
    <row r="56" spans="1:19" s="1186" customFormat="1" ht="11.25">
      <c r="A56" s="718" t="s">
        <v>1139</v>
      </c>
      <c r="B56" s="1030">
        <v>39632595</v>
      </c>
      <c r="C56" s="715"/>
      <c r="D56" s="715">
        <v>1624260</v>
      </c>
      <c r="E56" s="715"/>
      <c r="F56" s="1030">
        <v>0</v>
      </c>
      <c r="G56" s="1030">
        <v>0</v>
      </c>
      <c r="H56" s="1240">
        <v>0</v>
      </c>
      <c r="I56" s="1215">
        <f aca="true" t="shared" si="12" ref="I56:I67">B56+C56+D56+F56-H56+G56</f>
        <v>41256855</v>
      </c>
      <c r="J56" s="716">
        <v>21726308</v>
      </c>
      <c r="K56" s="715">
        <v>645632</v>
      </c>
      <c r="L56" s="1030">
        <v>0</v>
      </c>
      <c r="M56" s="1030"/>
      <c r="N56" s="1030">
        <v>0</v>
      </c>
      <c r="O56" s="1242">
        <v>0</v>
      </c>
      <c r="P56" s="1030">
        <v>0</v>
      </c>
      <c r="Q56" s="715">
        <f aca="true" t="shared" si="13" ref="Q56:Q67">J56+K56+L56-P56+O56</f>
        <v>22371940</v>
      </c>
      <c r="R56" s="716">
        <f aca="true" t="shared" si="14" ref="R56:R67">I56-Q56</f>
        <v>18884915</v>
      </c>
      <c r="S56" s="717">
        <v>1552709</v>
      </c>
    </row>
    <row r="57" spans="1:26" s="677" customFormat="1" ht="11.25">
      <c r="A57" s="718" t="s">
        <v>977</v>
      </c>
      <c r="B57" s="1030">
        <f>2109672-628886</f>
        <v>1480786</v>
      </c>
      <c r="C57" s="715"/>
      <c r="D57" s="715">
        <v>614787</v>
      </c>
      <c r="E57" s="715"/>
      <c r="F57" s="715">
        <f>12000-11007</f>
        <v>993</v>
      </c>
      <c r="G57" s="715">
        <v>0</v>
      </c>
      <c r="H57" s="943">
        <v>64145</v>
      </c>
      <c r="I57" s="1215">
        <f t="shared" si="12"/>
        <v>2032421</v>
      </c>
      <c r="J57" s="716">
        <v>1499841</v>
      </c>
      <c r="K57" s="715">
        <f>213690</f>
        <v>213690</v>
      </c>
      <c r="L57" s="719">
        <f>-92733</f>
        <v>-92733</v>
      </c>
      <c r="M57" s="719"/>
      <c r="N57" s="715"/>
      <c r="O57" s="1243">
        <v>0</v>
      </c>
      <c r="P57" s="1030">
        <v>0</v>
      </c>
      <c r="Q57" s="715">
        <f t="shared" si="13"/>
        <v>1620798</v>
      </c>
      <c r="R57" s="716">
        <f t="shared" si="14"/>
        <v>411623</v>
      </c>
      <c r="S57" s="717">
        <v>783576</v>
      </c>
      <c r="Z57" s="680"/>
    </row>
    <row r="58" spans="1:26" s="677" customFormat="1" ht="11.25">
      <c r="A58" s="718" t="s">
        <v>978</v>
      </c>
      <c r="B58" s="1030">
        <v>6729012</v>
      </c>
      <c r="C58" s="715"/>
      <c r="D58" s="715">
        <v>180926</v>
      </c>
      <c r="E58" s="715"/>
      <c r="F58" s="715">
        <f>162400-2750</f>
        <v>159650</v>
      </c>
      <c r="G58" s="715">
        <v>0</v>
      </c>
      <c r="H58" s="943">
        <v>758358</v>
      </c>
      <c r="I58" s="1215">
        <f t="shared" si="12"/>
        <v>6311230</v>
      </c>
      <c r="J58" s="716">
        <v>5200735</v>
      </c>
      <c r="K58" s="715">
        <f>-394744+537965+84689</f>
        <v>227910</v>
      </c>
      <c r="L58" s="719">
        <f>-226533</f>
        <v>-226533</v>
      </c>
      <c r="M58" s="719"/>
      <c r="N58" s="715"/>
      <c r="O58" s="1243">
        <v>0</v>
      </c>
      <c r="P58" s="715">
        <f>-(-537965-84689)</f>
        <v>622654</v>
      </c>
      <c r="Q58" s="715">
        <f t="shared" si="13"/>
        <v>4579458</v>
      </c>
      <c r="R58" s="716">
        <f t="shared" si="14"/>
        <v>1731772</v>
      </c>
      <c r="S58" s="717">
        <v>712973</v>
      </c>
      <c r="Z58" s="680"/>
    </row>
    <row r="59" spans="1:19" s="677" customFormat="1" ht="11.25">
      <c r="A59" s="718" t="s">
        <v>1263</v>
      </c>
      <c r="B59" s="1030">
        <v>6397879</v>
      </c>
      <c r="C59" s="715"/>
      <c r="D59" s="1030">
        <v>0</v>
      </c>
      <c r="E59" s="715"/>
      <c r="F59" s="1030">
        <v>0</v>
      </c>
      <c r="G59" s="1030">
        <v>0</v>
      </c>
      <c r="H59" s="943">
        <v>0</v>
      </c>
      <c r="I59" s="1215">
        <f t="shared" si="12"/>
        <v>6397879</v>
      </c>
      <c r="J59" s="716">
        <v>6397878</v>
      </c>
      <c r="K59" s="1030">
        <v>0</v>
      </c>
      <c r="L59" s="1030">
        <v>0</v>
      </c>
      <c r="M59" s="1030"/>
      <c r="N59" s="1030">
        <v>0</v>
      </c>
      <c r="O59" s="1242">
        <v>0</v>
      </c>
      <c r="P59" s="1030">
        <v>0</v>
      </c>
      <c r="Q59" s="715">
        <f t="shared" si="13"/>
        <v>6397878</v>
      </c>
      <c r="R59" s="716">
        <f t="shared" si="14"/>
        <v>1</v>
      </c>
      <c r="S59" s="1140">
        <v>0</v>
      </c>
    </row>
    <row r="60" spans="1:19" s="677" customFormat="1" ht="11.25">
      <c r="A60" s="718" t="s">
        <v>1145</v>
      </c>
      <c r="B60" s="1030">
        <v>12400</v>
      </c>
      <c r="C60" s="715"/>
      <c r="D60" s="1030">
        <v>0</v>
      </c>
      <c r="E60" s="715"/>
      <c r="F60" s="715">
        <v>3500</v>
      </c>
      <c r="G60" s="715">
        <v>0</v>
      </c>
      <c r="H60" s="943">
        <v>6700</v>
      </c>
      <c r="I60" s="1215">
        <f t="shared" si="12"/>
        <v>9200</v>
      </c>
      <c r="J60" s="716">
        <v>2480</v>
      </c>
      <c r="K60" s="715">
        <f>-200</f>
        <v>-200</v>
      </c>
      <c r="L60" s="1030">
        <v>0</v>
      </c>
      <c r="M60" s="1030"/>
      <c r="N60" s="1030">
        <v>0</v>
      </c>
      <c r="O60" s="1242">
        <v>0</v>
      </c>
      <c r="P60" s="1030">
        <v>0</v>
      </c>
      <c r="Q60" s="715">
        <f t="shared" si="13"/>
        <v>2280</v>
      </c>
      <c r="R60" s="716">
        <f t="shared" si="14"/>
        <v>6920</v>
      </c>
      <c r="S60" s="1140">
        <v>0</v>
      </c>
    </row>
    <row r="61" spans="1:19" s="677" customFormat="1" ht="11.25">
      <c r="A61" s="718" t="s">
        <v>1264</v>
      </c>
      <c r="B61" s="1030">
        <v>21344502</v>
      </c>
      <c r="C61" s="715"/>
      <c r="D61" s="1030">
        <v>0</v>
      </c>
      <c r="E61" s="715"/>
      <c r="F61" s="1030">
        <v>0</v>
      </c>
      <c r="G61" s="1030">
        <v>0</v>
      </c>
      <c r="H61" s="1240">
        <v>0</v>
      </c>
      <c r="I61" s="1215">
        <f t="shared" si="12"/>
        <v>21344502</v>
      </c>
      <c r="J61" s="716">
        <v>20837432</v>
      </c>
      <c r="K61" s="715">
        <v>158043</v>
      </c>
      <c r="L61" s="719">
        <v>-11559164</v>
      </c>
      <c r="M61" s="719"/>
      <c r="N61" s="715"/>
      <c r="O61" s="1243">
        <v>0</v>
      </c>
      <c r="P61" s="1030">
        <v>0</v>
      </c>
      <c r="Q61" s="715">
        <f t="shared" si="13"/>
        <v>9436311</v>
      </c>
      <c r="R61" s="716">
        <f t="shared" si="14"/>
        <v>11908191</v>
      </c>
      <c r="S61" s="1140">
        <v>0</v>
      </c>
    </row>
    <row r="62" spans="1:19" s="677" customFormat="1" ht="11.25">
      <c r="A62" s="718" t="s">
        <v>1146</v>
      </c>
      <c r="B62" s="1030">
        <v>1</v>
      </c>
      <c r="C62" s="715"/>
      <c r="D62" s="1030">
        <v>0</v>
      </c>
      <c r="E62" s="715"/>
      <c r="F62" s="1030">
        <v>0</v>
      </c>
      <c r="G62" s="1030">
        <v>0</v>
      </c>
      <c r="H62" s="1240">
        <v>0</v>
      </c>
      <c r="I62" s="1215">
        <f t="shared" si="12"/>
        <v>1</v>
      </c>
      <c r="J62" s="1139">
        <v>0</v>
      </c>
      <c r="K62" s="1030">
        <v>0</v>
      </c>
      <c r="L62" s="1030">
        <v>0</v>
      </c>
      <c r="M62" s="1030"/>
      <c r="N62" s="1030">
        <v>0</v>
      </c>
      <c r="O62" s="1242">
        <v>0</v>
      </c>
      <c r="P62" s="1030">
        <v>0</v>
      </c>
      <c r="Q62" s="715">
        <f t="shared" si="13"/>
        <v>0</v>
      </c>
      <c r="R62" s="716">
        <f t="shared" si="14"/>
        <v>1</v>
      </c>
      <c r="S62" s="1140">
        <v>0</v>
      </c>
    </row>
    <row r="63" spans="1:19" s="677" customFormat="1" ht="11.25">
      <c r="A63" s="718" t="s">
        <v>1148</v>
      </c>
      <c r="B63" s="1030">
        <v>0</v>
      </c>
      <c r="C63" s="715"/>
      <c r="D63" s="1030">
        <v>0</v>
      </c>
      <c r="E63" s="715"/>
      <c r="F63" s="1030">
        <v>0</v>
      </c>
      <c r="G63" s="1030">
        <v>0</v>
      </c>
      <c r="H63" s="1240">
        <v>0</v>
      </c>
      <c r="I63" s="1215">
        <f t="shared" si="12"/>
        <v>0</v>
      </c>
      <c r="J63" s="1030">
        <v>0</v>
      </c>
      <c r="K63" s="1030">
        <v>0</v>
      </c>
      <c r="L63" s="1030">
        <v>0</v>
      </c>
      <c r="M63" s="1030"/>
      <c r="N63" s="1030">
        <v>0</v>
      </c>
      <c r="O63" s="1242">
        <v>0</v>
      </c>
      <c r="P63" s="1030">
        <v>0</v>
      </c>
      <c r="Q63" s="715">
        <f t="shared" si="13"/>
        <v>0</v>
      </c>
      <c r="R63" s="1030">
        <v>0</v>
      </c>
      <c r="S63" s="1142">
        <v>0</v>
      </c>
    </row>
    <row r="64" spans="1:26" s="677" customFormat="1" ht="11.25">
      <c r="A64" s="718" t="s">
        <v>1150</v>
      </c>
      <c r="B64" s="1030">
        <f>12895706+2971517+625386-2-3169307</f>
        <v>13323300</v>
      </c>
      <c r="C64" s="715"/>
      <c r="D64" s="1030">
        <v>818038</v>
      </c>
      <c r="E64" s="715"/>
      <c r="F64" s="715">
        <f>453702+3498</f>
        <v>457200</v>
      </c>
      <c r="G64" s="715">
        <v>0</v>
      </c>
      <c r="H64" s="1238">
        <f>2540357-1</f>
        <v>2540356</v>
      </c>
      <c r="I64" s="1215">
        <f t="shared" si="12"/>
        <v>12058182</v>
      </c>
      <c r="J64" s="716">
        <f>8115671-4800</f>
        <v>8110871</v>
      </c>
      <c r="K64" s="715">
        <f>-1091910-94913+2373187</f>
        <v>1186364</v>
      </c>
      <c r="L64" s="719">
        <f>-3108373</f>
        <v>-3108373</v>
      </c>
      <c r="M64" s="719"/>
      <c r="N64" s="715"/>
      <c r="O64" s="1243">
        <v>0</v>
      </c>
      <c r="P64" s="715">
        <f>-(-2373187)</f>
        <v>2373187</v>
      </c>
      <c r="Q64" s="715">
        <f t="shared" si="13"/>
        <v>3815675</v>
      </c>
      <c r="R64" s="716">
        <f t="shared" si="14"/>
        <v>8242507</v>
      </c>
      <c r="S64" s="717">
        <f>1434373-8234</f>
        <v>1426139</v>
      </c>
      <c r="Z64" s="680"/>
    </row>
    <row r="65" spans="1:26" s="677" customFormat="1" ht="11.25">
      <c r="A65" s="718" t="s">
        <v>979</v>
      </c>
      <c r="B65" s="1030">
        <v>12253939</v>
      </c>
      <c r="C65" s="715"/>
      <c r="D65" s="1030">
        <v>948018</v>
      </c>
      <c r="E65" s="715"/>
      <c r="F65" s="715">
        <f>68000-10000</f>
        <v>58000</v>
      </c>
      <c r="G65" s="715">
        <v>0</v>
      </c>
      <c r="H65" s="943">
        <v>568245</v>
      </c>
      <c r="I65" s="1215">
        <f t="shared" si="12"/>
        <v>12691712</v>
      </c>
      <c r="J65" s="716">
        <v>10054912</v>
      </c>
      <c r="K65" s="715">
        <f>158843+579416</f>
        <v>738259</v>
      </c>
      <c r="L65" s="719">
        <f>-1870431</f>
        <v>-1870431</v>
      </c>
      <c r="M65" s="719"/>
      <c r="N65" s="715"/>
      <c r="O65" s="1243">
        <v>0</v>
      </c>
      <c r="P65" s="715">
        <f>-(-579416)</f>
        <v>579416</v>
      </c>
      <c r="Q65" s="715">
        <f t="shared" si="13"/>
        <v>8343324</v>
      </c>
      <c r="R65" s="716">
        <f t="shared" si="14"/>
        <v>4348388</v>
      </c>
      <c r="S65" s="717">
        <v>1234037</v>
      </c>
      <c r="Z65" s="680"/>
    </row>
    <row r="66" spans="1:26" s="677" customFormat="1" ht="11.25">
      <c r="A66" s="718" t="s">
        <v>1153</v>
      </c>
      <c r="B66" s="1030">
        <v>22373</v>
      </c>
      <c r="C66" s="715"/>
      <c r="D66" s="1030">
        <v>0</v>
      </c>
      <c r="E66" s="715"/>
      <c r="F66" s="715">
        <v>13950</v>
      </c>
      <c r="G66" s="715">
        <v>0</v>
      </c>
      <c r="H66" s="1240">
        <v>0</v>
      </c>
      <c r="I66" s="1215">
        <f t="shared" si="12"/>
        <v>36323</v>
      </c>
      <c r="J66" s="716">
        <v>7033</v>
      </c>
      <c r="K66" s="715">
        <v>15329</v>
      </c>
      <c r="L66" s="1030">
        <v>0</v>
      </c>
      <c r="M66" s="1030"/>
      <c r="N66" s="1030">
        <v>0</v>
      </c>
      <c r="O66" s="1242">
        <v>0</v>
      </c>
      <c r="P66" s="1030">
        <v>0</v>
      </c>
      <c r="Q66" s="715">
        <f t="shared" si="13"/>
        <v>22362</v>
      </c>
      <c r="R66" s="716">
        <f t="shared" si="14"/>
        <v>13961</v>
      </c>
      <c r="S66" s="717">
        <v>446414</v>
      </c>
      <c r="Z66" s="680"/>
    </row>
    <row r="67" spans="1:26" s="677" customFormat="1" ht="11.25">
      <c r="A67" s="718" t="s">
        <v>752</v>
      </c>
      <c r="B67" s="1030">
        <v>1480051</v>
      </c>
      <c r="C67" s="715"/>
      <c r="D67" s="1030">
        <v>0</v>
      </c>
      <c r="E67" s="943">
        <v>0</v>
      </c>
      <c r="F67" s="1030">
        <v>0</v>
      </c>
      <c r="G67" s="1030">
        <v>0</v>
      </c>
      <c r="H67" s="1240">
        <v>0</v>
      </c>
      <c r="I67" s="1215">
        <f t="shared" si="12"/>
        <v>1480051</v>
      </c>
      <c r="J67" s="716">
        <v>588748</v>
      </c>
      <c r="K67" s="715">
        <f>279708</f>
        <v>279708</v>
      </c>
      <c r="L67" s="1030">
        <v>0</v>
      </c>
      <c r="M67" s="1030"/>
      <c r="N67" s="1030">
        <v>0</v>
      </c>
      <c r="O67" s="1242">
        <v>0</v>
      </c>
      <c r="P67" s="1030">
        <v>0</v>
      </c>
      <c r="Q67" s="715">
        <f t="shared" si="13"/>
        <v>868456</v>
      </c>
      <c r="R67" s="716">
        <f t="shared" si="14"/>
        <v>611595</v>
      </c>
      <c r="S67" s="1142">
        <v>0</v>
      </c>
      <c r="Z67" s="680"/>
    </row>
    <row r="68" spans="1:26" s="1187" customFormat="1" ht="12" thickBot="1">
      <c r="A68" s="1025"/>
      <c r="B68" s="1032">
        <f>SUM(B56:B67)</f>
        <v>102676838</v>
      </c>
      <c r="C68" s="948">
        <f aca="true" t="shared" si="15" ref="C68:S68">SUM(C56:C67)</f>
        <v>0</v>
      </c>
      <c r="D68" s="948">
        <f>SUM(D56:D67)</f>
        <v>4186029</v>
      </c>
      <c r="E68" s="948">
        <f t="shared" si="15"/>
        <v>0</v>
      </c>
      <c r="F68" s="948">
        <f t="shared" si="15"/>
        <v>693293</v>
      </c>
      <c r="G68" s="945">
        <f t="shared" si="15"/>
        <v>0</v>
      </c>
      <c r="H68" s="945">
        <f t="shared" si="15"/>
        <v>3937804</v>
      </c>
      <c r="I68" s="1217">
        <f>SUM(I56:I67)</f>
        <v>103618356</v>
      </c>
      <c r="J68" s="948">
        <f>SUM(J56:J67)</f>
        <v>74426238</v>
      </c>
      <c r="K68" s="948">
        <f t="shared" si="15"/>
        <v>3464735</v>
      </c>
      <c r="L68" s="1026">
        <f t="shared" si="15"/>
        <v>-16857234</v>
      </c>
      <c r="M68" s="1026"/>
      <c r="N68" s="948">
        <f t="shared" si="15"/>
        <v>0</v>
      </c>
      <c r="O68" s="1026">
        <f t="shared" si="15"/>
        <v>0</v>
      </c>
      <c r="P68" s="948">
        <f t="shared" si="15"/>
        <v>3575257</v>
      </c>
      <c r="Q68" s="1026">
        <f t="shared" si="15"/>
        <v>57458482</v>
      </c>
      <c r="R68" s="1026">
        <f t="shared" si="15"/>
        <v>46159874</v>
      </c>
      <c r="S68" s="1039">
        <f t="shared" si="15"/>
        <v>6155848</v>
      </c>
      <c r="Z68" s="1187" t="s">
        <v>1587</v>
      </c>
    </row>
    <row r="69" spans="1:19" s="677" customFormat="1" ht="8.25" customHeight="1" thickTop="1">
      <c r="A69" s="718"/>
      <c r="B69" s="1030"/>
      <c r="C69" s="715"/>
      <c r="D69" s="715"/>
      <c r="E69" s="715"/>
      <c r="F69" s="715"/>
      <c r="G69" s="715"/>
      <c r="H69" s="943"/>
      <c r="I69" s="1215"/>
      <c r="J69" s="716"/>
      <c r="K69" s="715"/>
      <c r="L69" s="719"/>
      <c r="M69" s="719"/>
      <c r="N69" s="715"/>
      <c r="O69" s="715"/>
      <c r="P69" s="715"/>
      <c r="Q69" s="715"/>
      <c r="R69" s="716"/>
      <c r="S69" s="717"/>
    </row>
    <row r="70" spans="1:19" s="677" customFormat="1" ht="12" customHeight="1" thickBot="1">
      <c r="A70" s="714" t="s">
        <v>1178</v>
      </c>
      <c r="B70" s="1031">
        <f aca="true" t="shared" si="16" ref="B70:L70">B68+B52+B45+B32+B15</f>
        <v>1305170944</v>
      </c>
      <c r="C70" s="944">
        <f t="shared" si="16"/>
        <v>0</v>
      </c>
      <c r="D70" s="1031">
        <f t="shared" si="16"/>
        <v>101154390</v>
      </c>
      <c r="E70" s="944">
        <f t="shared" si="16"/>
        <v>6928761361</v>
      </c>
      <c r="F70" s="944">
        <f t="shared" si="16"/>
        <v>694159</v>
      </c>
      <c r="G70" s="945">
        <f t="shared" si="16"/>
        <v>6888425428</v>
      </c>
      <c r="H70" s="945">
        <f t="shared" si="16"/>
        <v>3937804</v>
      </c>
      <c r="I70" s="1216">
        <f t="shared" si="16"/>
        <v>8291507117</v>
      </c>
      <c r="J70" s="944">
        <f t="shared" si="16"/>
        <v>949731683</v>
      </c>
      <c r="K70" s="944">
        <f t="shared" si="16"/>
        <v>9227939</v>
      </c>
      <c r="L70" s="947">
        <f t="shared" si="16"/>
        <v>-16857234</v>
      </c>
      <c r="M70" s="947"/>
      <c r="N70" s="944">
        <f aca="true" t="shared" si="17" ref="N70:S70">N68+N52+N45+N32+N15</f>
        <v>0</v>
      </c>
      <c r="O70" s="947">
        <f t="shared" si="17"/>
        <v>2096568627</v>
      </c>
      <c r="P70" s="944">
        <f t="shared" si="17"/>
        <v>3575257</v>
      </c>
      <c r="Q70" s="944">
        <f t="shared" si="17"/>
        <v>3035095758</v>
      </c>
      <c r="R70" s="944">
        <f t="shared" si="17"/>
        <v>5256411359</v>
      </c>
      <c r="S70" s="721">
        <f t="shared" si="17"/>
        <v>158236871</v>
      </c>
    </row>
    <row r="71" spans="1:19" s="677" customFormat="1" ht="12" customHeight="1" thickBot="1" thickTop="1">
      <c r="A71" s="1040"/>
      <c r="B71" s="1041"/>
      <c r="C71" s="1042"/>
      <c r="D71" s="1041"/>
      <c r="E71" s="1042"/>
      <c r="F71" s="1042"/>
      <c r="G71" s="1042"/>
      <c r="H71" s="1043"/>
      <c r="I71" s="1218"/>
      <c r="J71" s="1042"/>
      <c r="K71" s="1042"/>
      <c r="L71" s="1042"/>
      <c r="M71" s="1042"/>
      <c r="N71" s="1042"/>
      <c r="O71" s="1042"/>
      <c r="P71" s="1042"/>
      <c r="Q71" s="1042"/>
      <c r="R71" s="1042"/>
      <c r="S71" s="1044"/>
    </row>
    <row r="72" spans="1:19" s="1186" customFormat="1" ht="12" customHeight="1">
      <c r="A72" s="970"/>
      <c r="B72" s="1033"/>
      <c r="C72" s="971"/>
      <c r="D72" s="1033"/>
      <c r="E72" s="971"/>
      <c r="F72" s="971"/>
      <c r="G72" s="971"/>
      <c r="H72" s="972"/>
      <c r="I72" s="1219"/>
      <c r="J72" s="971"/>
      <c r="K72" s="971"/>
      <c r="L72" s="971"/>
      <c r="M72" s="971"/>
      <c r="N72" s="971"/>
      <c r="O72" s="971"/>
      <c r="P72" s="971"/>
      <c r="Q72" s="971"/>
      <c r="R72" s="971"/>
      <c r="S72" s="971"/>
    </row>
    <row r="73" spans="1:19" s="1186" customFormat="1" ht="12" customHeight="1">
      <c r="A73" s="970"/>
      <c r="B73" s="1033"/>
      <c r="C73" s="971"/>
      <c r="D73" s="1033"/>
      <c r="E73" s="971"/>
      <c r="F73" s="971"/>
      <c r="G73" s="971"/>
      <c r="H73" s="972"/>
      <c r="I73" s="1222" t="s">
        <v>148</v>
      </c>
      <c r="J73" s="971"/>
      <c r="K73" s="971"/>
      <c r="L73" s="971"/>
      <c r="M73" s="971"/>
      <c r="N73" s="971"/>
      <c r="O73" s="971"/>
      <c r="P73" s="971"/>
      <c r="Q73" s="971"/>
      <c r="R73" s="971"/>
      <c r="S73" s="971"/>
    </row>
    <row r="74" spans="1:19" s="1186" customFormat="1" ht="12" customHeight="1">
      <c r="A74" s="970"/>
      <c r="B74" s="1033"/>
      <c r="C74" s="971"/>
      <c r="D74" s="1033"/>
      <c r="E74" s="971"/>
      <c r="F74" s="971"/>
      <c r="G74" s="971"/>
      <c r="H74" s="972"/>
      <c r="I74" s="1219"/>
      <c r="J74" s="971"/>
      <c r="K74" s="971"/>
      <c r="L74" s="971"/>
      <c r="M74" s="971"/>
      <c r="N74" s="971"/>
      <c r="O74" s="971"/>
      <c r="P74" s="971"/>
      <c r="Q74" s="971"/>
      <c r="R74" s="971"/>
      <c r="S74" s="971"/>
    </row>
    <row r="75" spans="1:19" s="1186" customFormat="1" ht="12" customHeight="1">
      <c r="A75" s="970"/>
      <c r="B75" s="1033"/>
      <c r="C75" s="971"/>
      <c r="D75" s="1033"/>
      <c r="E75" s="971"/>
      <c r="F75" s="971"/>
      <c r="G75" s="971"/>
      <c r="H75" s="972"/>
      <c r="I75" s="1219"/>
      <c r="J75" s="971"/>
      <c r="K75" s="971"/>
      <c r="L75" s="971"/>
      <c r="M75" s="971"/>
      <c r="N75" s="971"/>
      <c r="O75" s="971"/>
      <c r="P75" s="971"/>
      <c r="Q75" s="971"/>
      <c r="R75" s="971"/>
      <c r="S75" s="971"/>
    </row>
    <row r="76" spans="1:19" ht="13.5" hidden="1" thickBot="1">
      <c r="A76" s="1040"/>
      <c r="B76" s="1041"/>
      <c r="C76" s="1042"/>
      <c r="D76" s="1042">
        <v>101154390</v>
      </c>
      <c r="E76" s="1042"/>
      <c r="F76" s="1042"/>
      <c r="G76" s="1042"/>
      <c r="H76" s="1043"/>
      <c r="I76" s="1218"/>
      <c r="J76" s="1042"/>
      <c r="K76" s="1042" t="s">
        <v>1587</v>
      </c>
      <c r="L76" s="1042"/>
      <c r="M76" s="1042"/>
      <c r="N76" s="1042"/>
      <c r="O76" s="1042"/>
      <c r="P76" s="1042"/>
      <c r="Q76" s="1042"/>
      <c r="R76" s="1042"/>
      <c r="S76" s="1044"/>
    </row>
    <row r="77" spans="1:19" s="170" customFormat="1" ht="12.75" hidden="1">
      <c r="A77" s="970" t="s">
        <v>110</v>
      </c>
      <c r="B77" s="1033"/>
      <c r="C77" s="971"/>
      <c r="D77" s="971">
        <v>94104390</v>
      </c>
      <c r="E77" s="971"/>
      <c r="F77" s="971"/>
      <c r="G77" s="971"/>
      <c r="H77" s="972"/>
      <c r="I77" s="1219"/>
      <c r="J77" s="971"/>
      <c r="K77" s="971" t="s">
        <v>1587</v>
      </c>
      <c r="L77" s="971"/>
      <c r="M77" s="971"/>
      <c r="N77" s="971"/>
      <c r="O77" s="971"/>
      <c r="P77" s="971"/>
      <c r="Q77" s="971"/>
      <c r="R77" s="971"/>
      <c r="S77" s="971"/>
    </row>
    <row r="78" spans="1:19" s="170" customFormat="1" ht="12.75" hidden="1">
      <c r="A78" s="970" t="s">
        <v>106</v>
      </c>
      <c r="B78" s="1033">
        <v>14125006</v>
      </c>
      <c r="C78" s="971"/>
      <c r="D78" s="971">
        <v>7050000</v>
      </c>
      <c r="E78" s="971">
        <v>22122894</v>
      </c>
      <c r="F78" s="971"/>
      <c r="G78" s="971"/>
      <c r="H78" s="972"/>
      <c r="I78" s="1215">
        <f>B78+D78+E78-H78</f>
        <v>43297900</v>
      </c>
      <c r="J78" s="971"/>
      <c r="K78" s="971"/>
      <c r="L78" s="971"/>
      <c r="M78" s="971"/>
      <c r="N78" s="971"/>
      <c r="O78" s="971"/>
      <c r="P78" s="971" t="s">
        <v>1587</v>
      </c>
      <c r="Q78" s="971"/>
      <c r="R78" s="716">
        <f>I78-Q78</f>
        <v>43297900</v>
      </c>
      <c r="S78" s="971"/>
    </row>
    <row r="79" spans="1:19" s="464" customFormat="1" ht="12.75" hidden="1">
      <c r="A79" s="970" t="s">
        <v>1044</v>
      </c>
      <c r="B79" s="1033">
        <v>3169307</v>
      </c>
      <c r="C79" s="971"/>
      <c r="D79" s="971">
        <v>1761088</v>
      </c>
      <c r="E79" s="971"/>
      <c r="F79" s="971"/>
      <c r="G79" s="971"/>
      <c r="H79" s="972"/>
      <c r="I79" s="1215">
        <f>B79+D79+F79-H79</f>
        <v>4930395</v>
      </c>
      <c r="J79" s="971">
        <v>1116248</v>
      </c>
      <c r="K79" s="971">
        <v>736871</v>
      </c>
      <c r="L79" s="971"/>
      <c r="M79" s="971"/>
      <c r="N79" s="971"/>
      <c r="O79" s="971"/>
      <c r="P79" s="971"/>
      <c r="Q79" s="715">
        <f>J79+K79+L79+N79-P79</f>
        <v>1853119</v>
      </c>
      <c r="R79" s="716">
        <f>I79-Q79</f>
        <v>3077276</v>
      </c>
      <c r="S79" s="971"/>
    </row>
    <row r="80" spans="1:19" s="464" customFormat="1" ht="12.75" hidden="1">
      <c r="A80" s="970" t="s">
        <v>826</v>
      </c>
      <c r="B80" s="1033">
        <v>1308340251</v>
      </c>
      <c r="C80" s="971">
        <v>0</v>
      </c>
      <c r="D80" s="971">
        <v>102915478</v>
      </c>
      <c r="E80" s="971">
        <v>0</v>
      </c>
      <c r="F80" s="971">
        <v>717916</v>
      </c>
      <c r="G80" s="971"/>
      <c r="H80" s="972">
        <v>3937804</v>
      </c>
      <c r="I80" s="1220">
        <v>1408035841</v>
      </c>
      <c r="J80" s="971">
        <v>950852731</v>
      </c>
      <c r="K80" s="971">
        <v>6389553</v>
      </c>
      <c r="L80" s="971">
        <v>-16857234</v>
      </c>
      <c r="M80" s="971"/>
      <c r="N80" s="971">
        <v>0</v>
      </c>
      <c r="O80" s="971"/>
      <c r="P80" s="971">
        <v>0</v>
      </c>
      <c r="Q80" s="971">
        <v>940385050</v>
      </c>
      <c r="R80" s="971">
        <v>467650791</v>
      </c>
      <c r="S80" s="971">
        <v>158236871</v>
      </c>
    </row>
    <row r="81" spans="1:19" s="464" customFormat="1" ht="12.75" hidden="1">
      <c r="A81" s="970"/>
      <c r="B81" s="1033">
        <f>B80-B79</f>
        <v>1305170944</v>
      </c>
      <c r="C81" s="971">
        <f aca="true" t="shared" si="18" ref="C81:S81">C80-C79</f>
        <v>0</v>
      </c>
      <c r="D81" s="971">
        <f t="shared" si="18"/>
        <v>101154390</v>
      </c>
      <c r="E81" s="971">
        <f t="shared" si="18"/>
        <v>0</v>
      </c>
      <c r="F81" s="971">
        <f t="shared" si="18"/>
        <v>717916</v>
      </c>
      <c r="G81" s="971"/>
      <c r="H81" s="971">
        <f t="shared" si="18"/>
        <v>3937804</v>
      </c>
      <c r="I81" s="1219">
        <f t="shared" si="18"/>
        <v>1403105446</v>
      </c>
      <c r="J81" s="971">
        <f t="shared" si="18"/>
        <v>949736483</v>
      </c>
      <c r="K81" s="971">
        <f t="shared" si="18"/>
        <v>5652682</v>
      </c>
      <c r="L81" s="971">
        <f t="shared" si="18"/>
        <v>-16857234</v>
      </c>
      <c r="M81" s="971"/>
      <c r="N81" s="971">
        <f t="shared" si="18"/>
        <v>0</v>
      </c>
      <c r="O81" s="971"/>
      <c r="P81" s="971">
        <f t="shared" si="18"/>
        <v>0</v>
      </c>
      <c r="Q81" s="971">
        <f t="shared" si="18"/>
        <v>938531931</v>
      </c>
      <c r="R81" s="971">
        <f>R70+R79</f>
        <v>5259488635</v>
      </c>
      <c r="S81" s="971">
        <f t="shared" si="18"/>
        <v>158236871</v>
      </c>
    </row>
    <row r="82" spans="1:19" s="464" customFormat="1" ht="12.75" hidden="1">
      <c r="A82" s="970" t="s">
        <v>827</v>
      </c>
      <c r="B82" s="1033">
        <v>1308340251</v>
      </c>
      <c r="C82" s="971"/>
      <c r="D82" s="971"/>
      <c r="E82" s="971"/>
      <c r="F82" s="971"/>
      <c r="G82" s="971"/>
      <c r="H82" s="971"/>
      <c r="I82" s="1219">
        <v>1408012084</v>
      </c>
      <c r="J82" s="971">
        <f>950847930.93</f>
        <v>950847931</v>
      </c>
      <c r="K82" s="971">
        <f>K81-K70</f>
        <v>-3575257</v>
      </c>
      <c r="L82" s="971"/>
      <c r="M82" s="971"/>
      <c r="N82" s="971"/>
      <c r="O82" s="971"/>
      <c r="P82" s="971"/>
      <c r="Q82" s="971">
        <v>940380250</v>
      </c>
      <c r="R82" s="971">
        <f>I82-Q82</f>
        <v>467631834</v>
      </c>
      <c r="S82" s="971"/>
    </row>
    <row r="83" spans="1:19" s="464" customFormat="1" ht="12.75" hidden="1">
      <c r="A83" s="970"/>
      <c r="B83" s="1033" t="s">
        <v>1587</v>
      </c>
      <c r="C83" s="971"/>
      <c r="D83" s="971">
        <v>102941720</v>
      </c>
      <c r="E83" s="971"/>
      <c r="F83" s="971"/>
      <c r="G83" s="971"/>
      <c r="H83" s="971"/>
      <c r="I83" s="1219" t="s">
        <v>1587</v>
      </c>
      <c r="J83" s="971" t="s">
        <v>1587</v>
      </c>
      <c r="K83" s="971"/>
      <c r="L83" s="971"/>
      <c r="M83" s="971"/>
      <c r="N83" s="971"/>
      <c r="O83" s="971"/>
      <c r="P83" s="971"/>
      <c r="Q83" s="971"/>
      <c r="R83" s="971"/>
      <c r="S83" s="971"/>
    </row>
    <row r="84" spans="1:19" s="464" customFormat="1" ht="12.75" hidden="1">
      <c r="A84" s="970"/>
      <c r="B84" s="1033">
        <f>B70+B79</f>
        <v>1308340251</v>
      </c>
      <c r="C84" s="971"/>
      <c r="D84" s="971">
        <f>-D80</f>
        <v>-102915478</v>
      </c>
      <c r="E84" s="971"/>
      <c r="F84" s="971"/>
      <c r="G84" s="971"/>
      <c r="H84" s="971"/>
      <c r="I84" s="1219">
        <f>I70+I79</f>
        <v>8296437512</v>
      </c>
      <c r="J84" s="971">
        <f>J70+J79</f>
        <v>950847931</v>
      </c>
      <c r="K84" s="971"/>
      <c r="L84" s="971"/>
      <c r="M84" s="971"/>
      <c r="N84" s="971"/>
      <c r="O84" s="971"/>
      <c r="P84" s="971"/>
      <c r="Q84" s="971">
        <f>Q70+Q79</f>
        <v>3036948877</v>
      </c>
      <c r="R84" s="971"/>
      <c r="S84" s="971"/>
    </row>
    <row r="85" spans="1:19" s="464" customFormat="1" ht="12.75" hidden="1">
      <c r="A85" s="970"/>
      <c r="B85" s="1033"/>
      <c r="C85" s="971"/>
      <c r="D85" s="971"/>
      <c r="E85" s="971"/>
      <c r="F85" s="971"/>
      <c r="G85" s="971"/>
      <c r="H85" s="971"/>
      <c r="I85" s="1219">
        <f>I82-I84</f>
        <v>-6888425428</v>
      </c>
      <c r="J85" s="971"/>
      <c r="K85" s="971"/>
      <c r="L85" s="971"/>
      <c r="M85" s="971"/>
      <c r="N85" s="971"/>
      <c r="O85" s="971"/>
      <c r="P85" s="971"/>
      <c r="Q85" s="971"/>
      <c r="R85" s="971"/>
      <c r="S85" s="971"/>
    </row>
    <row r="86" spans="5:17" ht="12.75" hidden="1">
      <c r="E86" s="168"/>
      <c r="Q86" s="151"/>
    </row>
    <row r="89" spans="3:9" ht="12.75">
      <c r="C89" s="148" t="e">
        <f>#REF!+#REF!</f>
        <v>#REF!</v>
      </c>
      <c r="D89" s="148" t="e">
        <f>C89-#REF!</f>
        <v>#REF!</v>
      </c>
      <c r="H89" s="272" t="e">
        <f>#REF!+#REF!</f>
        <v>#REF!</v>
      </c>
      <c r="I89" s="148" t="e">
        <f>H89+#REF!</f>
        <v>#REF!</v>
      </c>
    </row>
    <row r="90" spans="9:11" ht="12.75">
      <c r="I90" s="148">
        <v>1348116</v>
      </c>
      <c r="J90" s="148">
        <v>5704968</v>
      </c>
      <c r="K90" s="148">
        <v>949293520</v>
      </c>
    </row>
    <row r="92" spans="6:11" ht="12.75">
      <c r="F92" s="148" t="e">
        <f>#REF!-#REF!</f>
        <v>#REF!</v>
      </c>
      <c r="I92" s="148" t="e">
        <f>#REF!+I90</f>
        <v>#REF!</v>
      </c>
      <c r="J92" s="148" t="e">
        <f>#REF!-J90</f>
        <v>#REF!</v>
      </c>
      <c r="K92" s="148" t="e">
        <f>#REF!-K90</f>
        <v>#REF!</v>
      </c>
    </row>
    <row r="94" ht="12.75">
      <c r="K94" s="148" t="e">
        <f>#REF!-K92</f>
        <v>#REF!</v>
      </c>
    </row>
    <row r="96" spans="6:9" ht="12.75">
      <c r="F96" s="148" t="e">
        <f>#REF!-#REF!</f>
        <v>#REF!</v>
      </c>
      <c r="I96" s="148">
        <f>6194938490-I70</f>
        <v>-2096568627</v>
      </c>
    </row>
  </sheetData>
  <sheetProtection/>
  <mergeCells count="7">
    <mergeCell ref="S5:S6"/>
    <mergeCell ref="R5:R6"/>
    <mergeCell ref="A1:N1"/>
    <mergeCell ref="A2:N2"/>
    <mergeCell ref="A3:N3"/>
    <mergeCell ref="B5:I5"/>
    <mergeCell ref="J5:Q5"/>
  </mergeCells>
  <printOptions horizontalCentered="1"/>
  <pageMargins left="0.03937007874015748" right="0.2362204724409449" top="0.1968503937007874" bottom="0.15748031496062992" header="0.5118110236220472" footer="0.1968503937007874"/>
  <pageSetup fitToHeight="1" fitToWidth="1" horizontalDpi="600" verticalDpi="600" orientation="landscape" paperSize="9" scale="71" r:id="rId1"/>
  <headerFooter alignWithMargins="0">
    <oddFooter>&amp;C- 33 -
</oddFooter>
  </headerFooter>
</worksheet>
</file>

<file path=xl/worksheets/sheet13.xml><?xml version="1.0" encoding="utf-8"?>
<worksheet xmlns="http://schemas.openxmlformats.org/spreadsheetml/2006/main" xmlns:r="http://schemas.openxmlformats.org/officeDocument/2006/relationships">
  <dimension ref="A2:AB56"/>
  <sheetViews>
    <sheetView view="pageBreakPreview" zoomScale="80" zoomScaleSheetLayoutView="80" zoomScalePageLayoutView="75" workbookViewId="0" topLeftCell="A1">
      <pane xSplit="2" topLeftCell="F1" activePane="topRight" state="frozen"/>
      <selection pane="topLeft" activeCell="A1" sqref="A1"/>
      <selection pane="topRight" activeCell="F17" sqref="F17"/>
    </sheetView>
  </sheetViews>
  <sheetFormatPr defaultColWidth="9.140625" defaultRowHeight="12.75"/>
  <cols>
    <col min="1" max="1" width="23.7109375" style="144" customWidth="1"/>
    <col min="2" max="2" width="20.57421875" style="950" bestFit="1" customWidth="1"/>
    <col min="3" max="3" width="16.8515625" style="950" bestFit="1" customWidth="1"/>
    <col min="4" max="4" width="16.8515625" style="950" hidden="1" customWidth="1"/>
    <col min="5" max="5" width="19.8515625" style="950" hidden="1" customWidth="1"/>
    <col min="6" max="6" width="19.8515625" style="950" customWidth="1"/>
    <col min="7" max="7" width="17.00390625" style="950" bestFit="1" customWidth="1"/>
    <col min="8" max="8" width="19.7109375" style="950" bestFit="1" customWidth="1"/>
    <col min="9" max="9" width="18.00390625" style="950" bestFit="1" customWidth="1"/>
    <col min="10" max="10" width="16.8515625" style="950" bestFit="1" customWidth="1"/>
    <col min="11" max="11" width="16.8515625" style="950" customWidth="1"/>
    <col min="12" max="12" width="16.8515625" style="950" hidden="1" customWidth="1"/>
    <col min="13" max="13" width="17.00390625" style="950" hidden="1" customWidth="1"/>
    <col min="14" max="14" width="13.28125" style="950" customWidth="1"/>
    <col min="15" max="15" width="18.00390625" style="950" bestFit="1" customWidth="1"/>
    <col min="16" max="16" width="19.00390625" style="950" bestFit="1" customWidth="1"/>
    <col min="17" max="17" width="17.00390625" style="950" bestFit="1" customWidth="1"/>
    <col min="18" max="18" width="23.421875" style="664" customWidth="1"/>
    <col min="19" max="16384" width="9.140625" style="144" customWidth="1"/>
  </cols>
  <sheetData>
    <row r="2" spans="1:17" ht="16.5" thickBot="1">
      <c r="A2" s="1306" t="s">
        <v>1185</v>
      </c>
      <c r="B2" s="1306"/>
      <c r="C2" s="1306"/>
      <c r="D2" s="1306"/>
      <c r="E2" s="1306"/>
      <c r="F2" s="1306"/>
      <c r="G2" s="1306"/>
      <c r="H2" s="1306"/>
      <c r="I2" s="1306"/>
      <c r="J2" s="1306"/>
      <c r="K2" s="1306"/>
      <c r="L2" s="1306"/>
      <c r="M2" s="1306"/>
      <c r="N2" s="1306"/>
      <c r="O2" s="1306"/>
      <c r="P2" s="1306"/>
      <c r="Q2" s="1306"/>
    </row>
    <row r="3" spans="1:17" ht="15.75">
      <c r="A3" s="1255" t="s">
        <v>1155</v>
      </c>
      <c r="B3" s="1256"/>
      <c r="C3" s="1256"/>
      <c r="D3" s="1256"/>
      <c r="E3" s="1256"/>
      <c r="F3" s="1256"/>
      <c r="G3" s="1256"/>
      <c r="H3" s="1256"/>
      <c r="I3" s="1256"/>
      <c r="J3" s="1256"/>
      <c r="K3" s="1256"/>
      <c r="L3" s="1256"/>
      <c r="M3" s="1256"/>
      <c r="N3" s="1256"/>
      <c r="O3" s="1256"/>
      <c r="P3" s="1256"/>
      <c r="Q3" s="1257"/>
    </row>
    <row r="4" spans="1:17" ht="15.75">
      <c r="A4" s="1315" t="s">
        <v>596</v>
      </c>
      <c r="B4" s="1259"/>
      <c r="C4" s="1259"/>
      <c r="D4" s="1259"/>
      <c r="E4" s="1259"/>
      <c r="F4" s="1259"/>
      <c r="G4" s="1259"/>
      <c r="H4" s="1259"/>
      <c r="I4" s="1259"/>
      <c r="J4" s="1259"/>
      <c r="K4" s="1259"/>
      <c r="L4" s="1259"/>
      <c r="M4" s="1259"/>
      <c r="N4" s="1259"/>
      <c r="O4" s="1259"/>
      <c r="P4" s="1259"/>
      <c r="Q4" s="1316"/>
    </row>
    <row r="5" spans="1:17" ht="13.5" thickBot="1">
      <c r="A5" s="147"/>
      <c r="B5" s="951"/>
      <c r="C5" s="951"/>
      <c r="D5" s="951"/>
      <c r="E5" s="951"/>
      <c r="F5" s="951"/>
      <c r="G5" s="951"/>
      <c r="H5" s="951"/>
      <c r="I5" s="951"/>
      <c r="J5" s="951"/>
      <c r="K5" s="951"/>
      <c r="L5" s="951"/>
      <c r="M5" s="951"/>
      <c r="N5" s="951"/>
      <c r="O5" s="951"/>
      <c r="P5" s="951"/>
      <c r="Q5" s="952"/>
    </row>
    <row r="6" spans="1:18" s="173" customFormat="1" ht="22.5" customHeight="1">
      <c r="A6" s="953"/>
      <c r="B6" s="1317" t="s">
        <v>183</v>
      </c>
      <c r="C6" s="1318"/>
      <c r="D6" s="1318"/>
      <c r="E6" s="1318"/>
      <c r="F6" s="1318"/>
      <c r="G6" s="1318"/>
      <c r="H6" s="1319"/>
      <c r="I6" s="1317" t="s">
        <v>184</v>
      </c>
      <c r="J6" s="1318"/>
      <c r="K6" s="1318"/>
      <c r="L6" s="1318"/>
      <c r="M6" s="1318"/>
      <c r="N6" s="1318"/>
      <c r="O6" s="1319"/>
      <c r="P6" s="1320" t="s">
        <v>1265</v>
      </c>
      <c r="Q6" s="1320" t="s">
        <v>1182</v>
      </c>
      <c r="R6" s="665"/>
    </row>
    <row r="7" spans="1:18" s="173" customFormat="1" ht="30.75" customHeight="1" thickBot="1">
      <c r="A7" s="954"/>
      <c r="B7" s="955" t="s">
        <v>1494</v>
      </c>
      <c r="C7" s="956" t="s">
        <v>1106</v>
      </c>
      <c r="D7" s="956" t="s">
        <v>107</v>
      </c>
      <c r="E7" s="956" t="s">
        <v>848</v>
      </c>
      <c r="F7" s="956" t="s">
        <v>119</v>
      </c>
      <c r="G7" s="956" t="s">
        <v>1107</v>
      </c>
      <c r="H7" s="957" t="s">
        <v>1259</v>
      </c>
      <c r="I7" s="955" t="s">
        <v>1494</v>
      </c>
      <c r="J7" s="956" t="s">
        <v>1666</v>
      </c>
      <c r="K7" s="958" t="s">
        <v>32</v>
      </c>
      <c r="L7" s="958" t="s">
        <v>111</v>
      </c>
      <c r="M7" s="958" t="s">
        <v>32</v>
      </c>
      <c r="N7" s="958" t="s">
        <v>1107</v>
      </c>
      <c r="O7" s="957" t="s">
        <v>1259</v>
      </c>
      <c r="P7" s="1321"/>
      <c r="Q7" s="1321"/>
      <c r="R7" s="665"/>
    </row>
    <row r="8" spans="1:17" ht="12.75">
      <c r="A8" s="959" t="s">
        <v>990</v>
      </c>
      <c r="B8" s="960">
        <v>4843266</v>
      </c>
      <c r="C8" s="157">
        <v>357082</v>
      </c>
      <c r="D8" s="157">
        <v>22122894</v>
      </c>
      <c r="E8" s="157">
        <v>0</v>
      </c>
      <c r="F8" s="156">
        <v>57298</v>
      </c>
      <c r="G8" s="1212">
        <v>122452</v>
      </c>
      <c r="H8" s="961">
        <f>B8+C8+F8-G8</f>
        <v>5135194</v>
      </c>
      <c r="I8" s="962">
        <v>1573135</v>
      </c>
      <c r="J8" s="157">
        <f>286048+N8</f>
        <v>389131</v>
      </c>
      <c r="K8" s="156">
        <f>-213372</f>
        <v>-213372</v>
      </c>
      <c r="L8" s="156">
        <v>213372</v>
      </c>
      <c r="M8" s="156">
        <v>0</v>
      </c>
      <c r="N8" s="963">
        <v>103083</v>
      </c>
      <c r="O8" s="961">
        <f>I8+J8+K8-N8</f>
        <v>1645811</v>
      </c>
      <c r="P8" s="191">
        <f>H8-O8</f>
        <v>3489383</v>
      </c>
      <c r="Q8" s="1048">
        <v>526406</v>
      </c>
    </row>
    <row r="9" spans="1:17" ht="12.75">
      <c r="A9" s="959" t="s">
        <v>991</v>
      </c>
      <c r="B9" s="960">
        <f>115925376-3169307</f>
        <v>112756069</v>
      </c>
      <c r="C9" s="157">
        <v>6398319</v>
      </c>
      <c r="D9" s="157">
        <v>146166388</v>
      </c>
      <c r="E9" s="157">
        <v>0</v>
      </c>
      <c r="F9" s="156">
        <v>204505</v>
      </c>
      <c r="G9" s="157">
        <f>2232265</f>
        <v>2232265</v>
      </c>
      <c r="H9" s="961">
        <f aca="true" t="shared" si="0" ref="H9:H21">B9+C9+F9-G9</f>
        <v>117126628</v>
      </c>
      <c r="I9" s="962">
        <f>13899978-1121048</f>
        <v>12778930</v>
      </c>
      <c r="J9" s="157">
        <f>-900290+N9</f>
        <v>1214828</v>
      </c>
      <c r="K9" s="156">
        <f>-3760357</f>
        <v>-3760357</v>
      </c>
      <c r="L9" s="156">
        <v>3547181</v>
      </c>
      <c r="M9" s="156">
        <v>-213176</v>
      </c>
      <c r="N9" s="963">
        <v>2115118</v>
      </c>
      <c r="O9" s="961">
        <f aca="true" t="shared" si="1" ref="O9:O21">I9+J9+K9-N9</f>
        <v>8118283</v>
      </c>
      <c r="P9" s="191">
        <f aca="true" t="shared" si="2" ref="P9:P21">H9-O9</f>
        <v>109008345</v>
      </c>
      <c r="Q9" s="1048">
        <v>10940017</v>
      </c>
    </row>
    <row r="10" spans="1:17" ht="12.75">
      <c r="A10" s="959" t="s">
        <v>992</v>
      </c>
      <c r="B10" s="960">
        <v>938184</v>
      </c>
      <c r="C10" s="157">
        <v>7664</v>
      </c>
      <c r="D10" s="157"/>
      <c r="E10" s="157">
        <v>0</v>
      </c>
      <c r="F10" s="156">
        <v>31750</v>
      </c>
      <c r="G10" s="157">
        <v>138801</v>
      </c>
      <c r="H10" s="961">
        <f t="shared" si="0"/>
        <v>838797</v>
      </c>
      <c r="I10" s="962">
        <v>0</v>
      </c>
      <c r="J10" s="157">
        <f>N10</f>
        <v>89172</v>
      </c>
      <c r="K10" s="156">
        <v>0</v>
      </c>
      <c r="L10" s="156">
        <v>213176</v>
      </c>
      <c r="M10" s="156">
        <v>0</v>
      </c>
      <c r="N10" s="963">
        <v>89172</v>
      </c>
      <c r="O10" s="961">
        <f t="shared" si="1"/>
        <v>0</v>
      </c>
      <c r="P10" s="191">
        <f t="shared" si="2"/>
        <v>838797</v>
      </c>
      <c r="Q10" s="1048">
        <v>9008739</v>
      </c>
    </row>
    <row r="11" spans="1:17" ht="12.75">
      <c r="A11" s="959" t="s">
        <v>1158</v>
      </c>
      <c r="B11" s="960">
        <v>6337344</v>
      </c>
      <c r="C11" s="157">
        <v>0</v>
      </c>
      <c r="D11" s="157">
        <v>29816469</v>
      </c>
      <c r="E11" s="157">
        <v>0</v>
      </c>
      <c r="F11" s="156">
        <v>36600</v>
      </c>
      <c r="G11" s="157">
        <v>151228</v>
      </c>
      <c r="H11" s="961">
        <f t="shared" si="0"/>
        <v>6222716</v>
      </c>
      <c r="I11" s="962">
        <v>0</v>
      </c>
      <c r="J11" s="157">
        <f>N11</f>
        <v>127096</v>
      </c>
      <c r="K11" s="156">
        <v>0</v>
      </c>
      <c r="L11" s="156">
        <v>66492</v>
      </c>
      <c r="M11" s="156">
        <v>0</v>
      </c>
      <c r="N11" s="963">
        <v>127096</v>
      </c>
      <c r="O11" s="961">
        <f t="shared" si="1"/>
        <v>0</v>
      </c>
      <c r="P11" s="191">
        <f t="shared" si="2"/>
        <v>6222716</v>
      </c>
      <c r="Q11" s="1048">
        <v>3680000</v>
      </c>
    </row>
    <row r="12" spans="1:17" ht="12.75">
      <c r="A12" s="959" t="s">
        <v>993</v>
      </c>
      <c r="B12" s="960">
        <v>39189412</v>
      </c>
      <c r="C12" s="157">
        <v>8259768</v>
      </c>
      <c r="D12" s="157">
        <v>37928248</v>
      </c>
      <c r="E12" s="157">
        <v>0</v>
      </c>
      <c r="F12" s="156">
        <v>126508</v>
      </c>
      <c r="G12" s="157">
        <v>291700</v>
      </c>
      <c r="H12" s="961">
        <f t="shared" si="0"/>
        <v>47283988</v>
      </c>
      <c r="I12" s="962">
        <v>3129927</v>
      </c>
      <c r="J12" s="157">
        <f>107980+N12</f>
        <v>365059</v>
      </c>
      <c r="K12" s="156">
        <f>-435018</f>
        <v>-435018</v>
      </c>
      <c r="L12" s="156">
        <v>368526</v>
      </c>
      <c r="M12" s="156">
        <v>-66492</v>
      </c>
      <c r="N12" s="963">
        <v>257079</v>
      </c>
      <c r="O12" s="961">
        <f t="shared" si="1"/>
        <v>2802889</v>
      </c>
      <c r="P12" s="191">
        <f t="shared" si="2"/>
        <v>44481099</v>
      </c>
      <c r="Q12" s="1048">
        <v>12266364</v>
      </c>
    </row>
    <row r="13" spans="1:17" ht="12.75">
      <c r="A13" s="959" t="s">
        <v>1161</v>
      </c>
      <c r="B13" s="960">
        <v>22047628</v>
      </c>
      <c r="C13" s="157">
        <v>1656947</v>
      </c>
      <c r="D13" s="157">
        <v>253645640</v>
      </c>
      <c r="E13" s="157">
        <v>0</v>
      </c>
      <c r="F13" s="156">
        <v>15000</v>
      </c>
      <c r="G13" s="157">
        <v>45600</v>
      </c>
      <c r="H13" s="961">
        <f t="shared" si="0"/>
        <v>23673975</v>
      </c>
      <c r="I13" s="962">
        <v>320461</v>
      </c>
      <c r="J13" s="157">
        <f>57721+N13</f>
        <v>99990</v>
      </c>
      <c r="K13" s="156">
        <v>-11998</v>
      </c>
      <c r="L13" s="156">
        <v>11998</v>
      </c>
      <c r="M13" s="156">
        <v>0</v>
      </c>
      <c r="N13" s="963">
        <v>42269</v>
      </c>
      <c r="O13" s="961">
        <f t="shared" si="1"/>
        <v>366184</v>
      </c>
      <c r="P13" s="191">
        <f t="shared" si="2"/>
        <v>23307791</v>
      </c>
      <c r="Q13" s="1048">
        <v>2683000</v>
      </c>
    </row>
    <row r="14" spans="1:17" ht="12.75">
      <c r="A14" s="959" t="s">
        <v>994</v>
      </c>
      <c r="B14" s="960">
        <v>11389948</v>
      </c>
      <c r="C14" s="157">
        <v>0</v>
      </c>
      <c r="D14" s="157"/>
      <c r="E14" s="157">
        <v>0</v>
      </c>
      <c r="F14" s="156">
        <v>27050</v>
      </c>
      <c r="G14" s="157">
        <v>179102</v>
      </c>
      <c r="H14" s="961">
        <f t="shared" si="0"/>
        <v>11237896</v>
      </c>
      <c r="I14" s="962">
        <v>8219112</v>
      </c>
      <c r="J14" s="157">
        <f>-11164+N14</f>
        <v>124208</v>
      </c>
      <c r="K14" s="156">
        <v>-675337</v>
      </c>
      <c r="L14" s="156">
        <v>675337</v>
      </c>
      <c r="M14" s="156">
        <v>0</v>
      </c>
      <c r="N14" s="963">
        <v>135372</v>
      </c>
      <c r="O14" s="961">
        <f t="shared" si="1"/>
        <v>7532611</v>
      </c>
      <c r="P14" s="191">
        <f t="shared" si="2"/>
        <v>3705285</v>
      </c>
      <c r="Q14" s="1048">
        <v>14703</v>
      </c>
    </row>
    <row r="15" spans="1:17" ht="12.75">
      <c r="A15" s="959" t="s">
        <v>995</v>
      </c>
      <c r="B15" s="960">
        <v>76481266</v>
      </c>
      <c r="C15" s="157">
        <v>3727392</v>
      </c>
      <c r="D15" s="157">
        <v>249250878</v>
      </c>
      <c r="E15" s="157">
        <v>0</v>
      </c>
      <c r="F15" s="156">
        <v>53000</v>
      </c>
      <c r="G15" s="157">
        <v>82701</v>
      </c>
      <c r="H15" s="961">
        <f t="shared" si="0"/>
        <v>80178957</v>
      </c>
      <c r="I15" s="962">
        <v>18382992</v>
      </c>
      <c r="J15" s="157">
        <f>10391+N15</f>
        <v>81583</v>
      </c>
      <c r="K15" s="156">
        <v>-1668731</v>
      </c>
      <c r="L15" s="156">
        <v>1668731</v>
      </c>
      <c r="M15" s="156">
        <v>0</v>
      </c>
      <c r="N15" s="963">
        <v>71192</v>
      </c>
      <c r="O15" s="961">
        <f t="shared" si="1"/>
        <v>16724652</v>
      </c>
      <c r="P15" s="191">
        <f t="shared" si="2"/>
        <v>63454305</v>
      </c>
      <c r="Q15" s="1048">
        <v>6705692</v>
      </c>
    </row>
    <row r="16" spans="1:17" ht="12.75">
      <c r="A16" s="959" t="s">
        <v>996</v>
      </c>
      <c r="B16" s="960">
        <v>367317</v>
      </c>
      <c r="C16" s="157">
        <v>0</v>
      </c>
      <c r="D16" s="157"/>
      <c r="E16" s="157">
        <v>0</v>
      </c>
      <c r="F16" s="156">
        <v>8250</v>
      </c>
      <c r="G16" s="157">
        <v>8700</v>
      </c>
      <c r="H16" s="961">
        <f t="shared" si="0"/>
        <v>366867</v>
      </c>
      <c r="I16" s="962">
        <v>276811</v>
      </c>
      <c r="J16" s="157">
        <f>27826+N16</f>
        <v>35852</v>
      </c>
      <c r="K16" s="156">
        <v>-120353</v>
      </c>
      <c r="L16" s="156">
        <v>120353</v>
      </c>
      <c r="M16" s="156">
        <v>0</v>
      </c>
      <c r="N16" s="963">
        <v>8026</v>
      </c>
      <c r="O16" s="961">
        <f t="shared" si="1"/>
        <v>184284</v>
      </c>
      <c r="P16" s="191">
        <f t="shared" si="2"/>
        <v>182583</v>
      </c>
      <c r="Q16" s="1048">
        <v>196765</v>
      </c>
    </row>
    <row r="17" spans="1:17" ht="12.75">
      <c r="A17" s="959" t="s">
        <v>997</v>
      </c>
      <c r="B17" s="960">
        <v>235310257</v>
      </c>
      <c r="C17" s="157">
        <v>28337412</v>
      </c>
      <c r="D17" s="157">
        <v>359549165</v>
      </c>
      <c r="E17" s="157">
        <v>0</v>
      </c>
      <c r="F17" s="156">
        <v>1102169963</v>
      </c>
      <c r="G17" s="157">
        <v>125942</v>
      </c>
      <c r="H17" s="961">
        <f t="shared" si="0"/>
        <v>1365691690</v>
      </c>
      <c r="I17" s="962">
        <v>200144731</v>
      </c>
      <c r="J17" s="157">
        <f>1937070+N17</f>
        <v>2052768</v>
      </c>
      <c r="K17" s="156">
        <f>-3894604</f>
        <v>-3894604</v>
      </c>
      <c r="L17" s="156">
        <v>3894604</v>
      </c>
      <c r="M17" s="156">
        <v>0</v>
      </c>
      <c r="N17" s="963">
        <v>115698</v>
      </c>
      <c r="O17" s="961">
        <f t="shared" si="1"/>
        <v>198187197</v>
      </c>
      <c r="P17" s="191">
        <f t="shared" si="2"/>
        <v>1167504493</v>
      </c>
      <c r="Q17" s="1048">
        <v>37505406</v>
      </c>
    </row>
    <row r="18" spans="1:17" ht="12.75">
      <c r="A18" s="959" t="s">
        <v>1165</v>
      </c>
      <c r="B18" s="960">
        <f>338735138</f>
        <v>338735138</v>
      </c>
      <c r="C18" s="157">
        <f>7569927-50000</f>
        <v>7519927</v>
      </c>
      <c r="D18" s="157">
        <v>3683790704</v>
      </c>
      <c r="E18" s="157">
        <v>0</v>
      </c>
      <c r="F18" s="156">
        <v>1581374444</v>
      </c>
      <c r="G18" s="157">
        <f>78823-1</f>
        <v>78822</v>
      </c>
      <c r="H18" s="961">
        <f t="shared" si="0"/>
        <v>1927550687</v>
      </c>
      <c r="I18" s="962">
        <f>324841799-2</f>
        <v>324841797</v>
      </c>
      <c r="J18" s="157">
        <f>256646+N18</f>
        <v>330445</v>
      </c>
      <c r="K18" s="156">
        <f>-1931059</f>
        <v>-1931059</v>
      </c>
      <c r="L18" s="156">
        <v>1931059</v>
      </c>
      <c r="M18" s="156">
        <v>0</v>
      </c>
      <c r="N18" s="963">
        <v>73799</v>
      </c>
      <c r="O18" s="961">
        <f t="shared" si="1"/>
        <v>323167384</v>
      </c>
      <c r="P18" s="191">
        <f t="shared" si="2"/>
        <v>1604383303</v>
      </c>
      <c r="Q18" s="1048">
        <v>12857767</v>
      </c>
    </row>
    <row r="19" spans="1:17" ht="12.75">
      <c r="A19" s="959" t="s">
        <v>1167</v>
      </c>
      <c r="B19" s="960">
        <v>226995019</v>
      </c>
      <c r="C19" s="157">
        <v>41092840</v>
      </c>
      <c r="D19" s="157">
        <v>81577637</v>
      </c>
      <c r="E19" s="157">
        <v>0</v>
      </c>
      <c r="F19" s="156">
        <v>1054021150</v>
      </c>
      <c r="G19" s="157">
        <f>404601</f>
        <v>404601</v>
      </c>
      <c r="H19" s="961">
        <f t="shared" si="0"/>
        <v>1321704408</v>
      </c>
      <c r="I19" s="962">
        <v>180141466</v>
      </c>
      <c r="J19" s="157">
        <f>2838985+N19</f>
        <v>3210929</v>
      </c>
      <c r="K19" s="156">
        <f>-2255672</f>
        <v>-2255672</v>
      </c>
      <c r="L19" s="156">
        <v>2255672</v>
      </c>
      <c r="M19" s="156">
        <v>0</v>
      </c>
      <c r="N19" s="963">
        <v>371944</v>
      </c>
      <c r="O19" s="961">
        <f t="shared" si="1"/>
        <v>180724779</v>
      </c>
      <c r="P19" s="191">
        <f t="shared" si="2"/>
        <v>1140979629</v>
      </c>
      <c r="Q19" s="1048">
        <v>53451290</v>
      </c>
    </row>
    <row r="20" spans="1:17" ht="12.75">
      <c r="A20" s="959" t="s">
        <v>1169</v>
      </c>
      <c r="B20" s="960">
        <v>229598168</v>
      </c>
      <c r="C20" s="157">
        <v>3797039</v>
      </c>
      <c r="D20" s="157">
        <v>2046658937</v>
      </c>
      <c r="E20" s="157">
        <v>-50000</v>
      </c>
      <c r="F20" s="156">
        <v>1054422442</v>
      </c>
      <c r="G20" s="157">
        <v>34140</v>
      </c>
      <c r="H20" s="961">
        <f t="shared" si="0"/>
        <v>1287783509</v>
      </c>
      <c r="I20" s="962">
        <v>199765412</v>
      </c>
      <c r="J20" s="157">
        <f>1072652+N20</f>
        <v>1100462</v>
      </c>
      <c r="K20" s="156">
        <f>-1838701</f>
        <v>-1838701</v>
      </c>
      <c r="L20" s="156">
        <v>1838701</v>
      </c>
      <c r="M20" s="156">
        <v>0</v>
      </c>
      <c r="N20" s="963">
        <v>27810</v>
      </c>
      <c r="O20" s="961">
        <f t="shared" si="1"/>
        <v>198999363</v>
      </c>
      <c r="P20" s="191">
        <f t="shared" si="2"/>
        <v>1088784146</v>
      </c>
      <c r="Q20" s="1048">
        <v>8400722</v>
      </c>
    </row>
    <row r="21" spans="1:17" ht="12.75">
      <c r="A21" s="959" t="s">
        <v>1133</v>
      </c>
      <c r="B21" s="960">
        <v>181928</v>
      </c>
      <c r="C21" s="157">
        <v>0</v>
      </c>
      <c r="D21" s="157"/>
      <c r="E21" s="157">
        <v>0</v>
      </c>
      <c r="F21" s="156">
        <v>3000</v>
      </c>
      <c r="G21" s="157">
        <f>41751-1</f>
        <v>41750</v>
      </c>
      <c r="H21" s="961">
        <f t="shared" si="0"/>
        <v>143178</v>
      </c>
      <c r="I21" s="962">
        <v>156909</v>
      </c>
      <c r="J21" s="157">
        <f>-31183+N21</f>
        <v>6416</v>
      </c>
      <c r="K21" s="156">
        <v>-52032</v>
      </c>
      <c r="L21" s="156">
        <v>52032</v>
      </c>
      <c r="M21" s="156">
        <v>0</v>
      </c>
      <c r="N21" s="963">
        <v>37599</v>
      </c>
      <c r="O21" s="961">
        <f t="shared" si="1"/>
        <v>73694</v>
      </c>
      <c r="P21" s="191">
        <f t="shared" si="2"/>
        <v>69484</v>
      </c>
      <c r="Q21" s="961">
        <v>0</v>
      </c>
    </row>
    <row r="22" spans="1:17" ht="12.75">
      <c r="A22" s="959"/>
      <c r="B22" s="960"/>
      <c r="C22" s="964"/>
      <c r="D22" s="964"/>
      <c r="E22" s="964"/>
      <c r="F22" s="156"/>
      <c r="G22" s="157"/>
      <c r="H22" s="961"/>
      <c r="I22" s="962"/>
      <c r="J22" s="157"/>
      <c r="K22" s="156"/>
      <c r="L22" s="156"/>
      <c r="M22" s="156"/>
      <c r="N22" s="963"/>
      <c r="O22" s="961"/>
      <c r="P22" s="191"/>
      <c r="Q22" s="191"/>
    </row>
    <row r="23" spans="1:18" s="182" customFormat="1" ht="13.5" thickBot="1">
      <c r="A23" s="965" t="s">
        <v>1172</v>
      </c>
      <c r="B23" s="1046">
        <f>SUM(B8:B21)</f>
        <v>1305170944</v>
      </c>
      <c r="C23" s="966">
        <f>SUM(C8:C21)</f>
        <v>101154390</v>
      </c>
      <c r="D23" s="966">
        <f>SUM(D8:D21)</f>
        <v>6910506960</v>
      </c>
      <c r="E23" s="966">
        <f>SUM(E8:E21)</f>
        <v>-50000</v>
      </c>
      <c r="F23" s="1211">
        <f>SUM(F8:F21)</f>
        <v>4792550960</v>
      </c>
      <c r="G23" s="966">
        <f aca="true" t="shared" si="3" ref="G23:Q23">SUM(G8:G21)</f>
        <v>3937804</v>
      </c>
      <c r="H23" s="966">
        <f t="shared" si="3"/>
        <v>6194938490</v>
      </c>
      <c r="I23" s="1046">
        <f t="shared" si="3"/>
        <v>949731683</v>
      </c>
      <c r="J23" s="966">
        <f t="shared" si="3"/>
        <v>9227939</v>
      </c>
      <c r="K23" s="966">
        <f t="shared" si="3"/>
        <v>-16857234</v>
      </c>
      <c r="L23" s="966">
        <f t="shared" si="3"/>
        <v>16857234</v>
      </c>
      <c r="M23" s="966">
        <f t="shared" si="3"/>
        <v>-279668</v>
      </c>
      <c r="N23" s="966">
        <f t="shared" si="3"/>
        <v>3575257</v>
      </c>
      <c r="O23" s="1047">
        <f t="shared" si="3"/>
        <v>938527131</v>
      </c>
      <c r="P23" s="1045">
        <f t="shared" si="3"/>
        <v>5256411359</v>
      </c>
      <c r="Q23" s="1047">
        <f t="shared" si="3"/>
        <v>158236871</v>
      </c>
      <c r="R23" s="666"/>
    </row>
    <row r="24" spans="1:17" ht="14.25" thickBot="1" thickTop="1">
      <c r="A24" s="967"/>
      <c r="B24" s="967"/>
      <c r="C24" s="968"/>
      <c r="D24" s="968"/>
      <c r="E24" s="968" t="s">
        <v>1587</v>
      </c>
      <c r="F24" s="968"/>
      <c r="G24" s="968"/>
      <c r="H24" s="969"/>
      <c r="I24" s="967" t="s">
        <v>1587</v>
      </c>
      <c r="J24" s="968"/>
      <c r="K24" s="968"/>
      <c r="L24" s="968"/>
      <c r="M24" s="968" t="s">
        <v>1587</v>
      </c>
      <c r="N24" s="968"/>
      <c r="O24" s="969"/>
      <c r="P24" s="969"/>
      <c r="Q24" s="969"/>
    </row>
    <row r="25" spans="1:28" ht="30" customHeight="1" hidden="1">
      <c r="A25" s="464"/>
      <c r="B25" s="973">
        <f>'GRAP APP B'!B70</f>
        <v>1305170944</v>
      </c>
      <c r="C25" s="973">
        <f>'GRAP APP B'!D70</f>
        <v>101154390</v>
      </c>
      <c r="D25" s="973"/>
      <c r="E25" s="973">
        <f>'GRAP APP B'!F70</f>
        <v>694159</v>
      </c>
      <c r="F25" s="973"/>
      <c r="G25" s="973">
        <f>'GRAP APP B'!H70</f>
        <v>3937804</v>
      </c>
      <c r="H25" s="973">
        <f>'GRAP APP B'!I70</f>
        <v>8291507117</v>
      </c>
      <c r="I25" s="973">
        <f>'GRAP APP B'!J70</f>
        <v>949731683</v>
      </c>
      <c r="J25" s="973">
        <f>'GRAP APP B'!K70</f>
        <v>9227939</v>
      </c>
      <c r="K25" s="973"/>
      <c r="L25" s="973"/>
      <c r="M25" s="973">
        <f>'GRAP APP B'!L70</f>
        <v>-16857234</v>
      </c>
      <c r="N25" s="973">
        <f>'GRAP APP B'!J70</f>
        <v>949731683</v>
      </c>
      <c r="O25" s="973">
        <f>'GRAP APP B'!Q70</f>
        <v>3035095758</v>
      </c>
      <c r="P25" s="973">
        <f>'GRAP APP B'!R70</f>
        <v>5256411359</v>
      </c>
      <c r="Q25" s="973">
        <f>'GRAP APP B'!S70</f>
        <v>158236871</v>
      </c>
      <c r="S25" s="973"/>
      <c r="T25" s="973"/>
      <c r="U25" s="973"/>
      <c r="V25" s="464"/>
      <c r="W25" s="464"/>
      <c r="X25" s="464"/>
      <c r="Y25" s="464"/>
      <c r="Z25" s="464"/>
      <c r="AA25" s="464"/>
      <c r="AB25" s="464"/>
    </row>
    <row r="26" spans="2:18" s="168" customFormat="1" ht="12.75" hidden="1">
      <c r="B26" s="168">
        <f>B25-B23</f>
        <v>0</v>
      </c>
      <c r="C26" s="168">
        <f aca="true" t="shared" si="4" ref="C26:Q26">C25-C23</f>
        <v>0</v>
      </c>
      <c r="E26" s="168">
        <f t="shared" si="4"/>
        <v>744159</v>
      </c>
      <c r="G26" s="168">
        <f t="shared" si="4"/>
        <v>0</v>
      </c>
      <c r="H26" s="168">
        <f t="shared" si="4"/>
        <v>2096568627</v>
      </c>
      <c r="I26" s="168">
        <f t="shared" si="4"/>
        <v>0</v>
      </c>
      <c r="J26" s="168">
        <f t="shared" si="4"/>
        <v>0</v>
      </c>
      <c r="M26" s="168">
        <f t="shared" si="4"/>
        <v>-16577566</v>
      </c>
      <c r="N26" s="168">
        <f t="shared" si="4"/>
        <v>946156426</v>
      </c>
      <c r="O26" s="168">
        <f t="shared" si="4"/>
        <v>2096568627</v>
      </c>
      <c r="P26" s="168">
        <f t="shared" si="4"/>
        <v>0</v>
      </c>
      <c r="Q26" s="168">
        <f t="shared" si="4"/>
        <v>0</v>
      </c>
      <c r="R26" s="181"/>
    </row>
    <row r="27" spans="1:17" ht="12.75">
      <c r="A27" s="1289" t="s">
        <v>149</v>
      </c>
      <c r="B27" s="1289"/>
      <c r="C27" s="1289"/>
      <c r="D27" s="1289"/>
      <c r="E27" s="1289"/>
      <c r="F27" s="1289"/>
      <c r="G27" s="1289"/>
      <c r="H27" s="1289"/>
      <c r="I27" s="1289"/>
      <c r="J27" s="1289"/>
      <c r="K27" s="1289"/>
      <c r="L27" s="1289"/>
      <c r="M27" s="1289"/>
      <c r="N27" s="1289"/>
      <c r="O27" s="1289"/>
      <c r="P27" s="1289"/>
      <c r="Q27" s="1289"/>
    </row>
    <row r="28" spans="1:17" ht="12.75">
      <c r="A28" s="974"/>
      <c r="B28" s="974"/>
      <c r="C28" s="974"/>
      <c r="D28" s="974"/>
      <c r="E28" s="974"/>
      <c r="F28" s="974"/>
      <c r="G28" s="974"/>
      <c r="H28" s="974"/>
      <c r="I28" s="974"/>
      <c r="J28" s="974"/>
      <c r="K28" s="974"/>
      <c r="L28" s="974"/>
      <c r="M28" s="974"/>
      <c r="N28" s="974"/>
      <c r="O28" s="974"/>
      <c r="P28" s="974"/>
      <c r="Q28" s="974"/>
    </row>
    <row r="29" spans="1:17" ht="12.75">
      <c r="A29" s="974"/>
      <c r="B29" s="974"/>
      <c r="C29" s="974"/>
      <c r="D29" s="974"/>
      <c r="E29" s="974"/>
      <c r="F29" s="974"/>
      <c r="G29" s="974"/>
      <c r="H29" s="974"/>
      <c r="I29" s="974"/>
      <c r="J29" s="974"/>
      <c r="K29" s="974"/>
      <c r="L29" s="974"/>
      <c r="M29" s="974"/>
      <c r="N29" s="974"/>
      <c r="O29" s="974"/>
      <c r="P29" s="974"/>
      <c r="Q29" s="974"/>
    </row>
    <row r="30" spans="1:17" ht="12.75">
      <c r="A30" s="974"/>
      <c r="B30" s="974"/>
      <c r="C30" s="974"/>
      <c r="D30" s="974"/>
      <c r="E30" s="974"/>
      <c r="F30" s="974"/>
      <c r="G30" s="974"/>
      <c r="H30" s="974"/>
      <c r="I30" s="974"/>
      <c r="J30" s="974"/>
      <c r="K30" s="974"/>
      <c r="L30" s="974"/>
      <c r="M30" s="974"/>
      <c r="N30" s="974"/>
      <c r="O30" s="974"/>
      <c r="P30" s="974"/>
      <c r="Q30" s="974"/>
    </row>
    <row r="31" spans="1:17" ht="12.75" hidden="1">
      <c r="A31" s="974"/>
      <c r="B31" s="974"/>
      <c r="C31" s="974"/>
      <c r="D31" s="974"/>
      <c r="E31" s="974"/>
      <c r="F31" s="974"/>
      <c r="G31" s="974"/>
      <c r="H31" s="974"/>
      <c r="I31" s="974"/>
      <c r="J31" s="974"/>
      <c r="K31" s="974"/>
      <c r="L31" s="974"/>
      <c r="M31" s="974"/>
      <c r="N31" s="974"/>
      <c r="O31" s="974"/>
      <c r="P31" s="974"/>
      <c r="Q31" s="974"/>
    </row>
    <row r="32" spans="1:17" ht="12.75" hidden="1">
      <c r="A32" s="974"/>
      <c r="B32" s="974" t="s">
        <v>114</v>
      </c>
      <c r="C32" s="974"/>
      <c r="D32" s="974"/>
      <c r="E32" s="974"/>
      <c r="F32" s="974"/>
      <c r="G32" s="974"/>
      <c r="H32" s="974" t="s">
        <v>115</v>
      </c>
      <c r="I32" s="307" t="s">
        <v>113</v>
      </c>
      <c r="J32" s="974"/>
      <c r="K32" s="974"/>
      <c r="L32" s="974"/>
      <c r="M32" s="974"/>
      <c r="N32" s="974"/>
      <c r="O32" s="307" t="s">
        <v>112</v>
      </c>
      <c r="P32" s="974"/>
      <c r="Q32" s="974"/>
    </row>
    <row r="33" spans="2:17" ht="14.25" customHeight="1" hidden="1">
      <c r="B33" s="950">
        <f>'[1]GRAP APP B'!C68</f>
        <v>0</v>
      </c>
      <c r="C33" s="950">
        <f>'[1]GRAP APP B'!D68</f>
        <v>0</v>
      </c>
      <c r="E33" s="950">
        <f>'[1]GRAP APP B'!E68</f>
        <v>0</v>
      </c>
      <c r="G33" s="950">
        <f>'[1]GRAP APP B'!F68</f>
        <v>0</v>
      </c>
      <c r="H33" s="950">
        <f>'[1]GRAP APP B'!G68</f>
        <v>0</v>
      </c>
      <c r="I33" s="950">
        <f>'[1]GRAP APP B'!H68</f>
        <v>0</v>
      </c>
      <c r="J33" s="950">
        <f>'[1]GRAP APP B'!I68</f>
        <v>0</v>
      </c>
      <c r="M33" s="950">
        <f>'[1]GRAP APP B'!J68</f>
        <v>0</v>
      </c>
      <c r="N33" s="950">
        <f>'[1]GRAP APP B'!K68</f>
        <v>0</v>
      </c>
      <c r="O33" s="168">
        <f>'[1]GRAP APP B'!L68</f>
        <v>0</v>
      </c>
      <c r="P33" s="950">
        <f>'[1]GRAP APP B'!M68</f>
        <v>0</v>
      </c>
      <c r="Q33" s="950">
        <f>'[1]GRAP APP B'!N68</f>
        <v>0</v>
      </c>
    </row>
    <row r="34" ht="12.75" hidden="1">
      <c r="O34" s="168"/>
    </row>
    <row r="35" spans="2:15" ht="12.75" hidden="1">
      <c r="B35" s="950">
        <f>B23-B33</f>
        <v>1305170944</v>
      </c>
      <c r="O35" s="168"/>
    </row>
    <row r="36" spans="9:15" ht="12.75" hidden="1">
      <c r="I36" s="950">
        <f>I23-I33</f>
        <v>949731683</v>
      </c>
      <c r="J36" s="950">
        <f>J23-J33</f>
        <v>9227939</v>
      </c>
      <c r="O36" s="168"/>
    </row>
    <row r="37" ht="12.75" hidden="1">
      <c r="O37" s="168"/>
    </row>
    <row r="38" ht="12.75" hidden="1">
      <c r="O38" s="168"/>
    </row>
    <row r="39" ht="12.75" hidden="1">
      <c r="O39" s="168"/>
    </row>
    <row r="40" ht="12.75" hidden="1">
      <c r="O40" s="168" t="s">
        <v>1587</v>
      </c>
    </row>
    <row r="41" ht="12.75" hidden="1">
      <c r="O41" s="168" t="s">
        <v>1587</v>
      </c>
    </row>
    <row r="42" ht="12.75" hidden="1">
      <c r="O42" s="168"/>
    </row>
    <row r="43" ht="12.75" hidden="1">
      <c r="O43" s="168"/>
    </row>
    <row r="44" ht="12.75" hidden="1">
      <c r="O44" s="168"/>
    </row>
    <row r="45" ht="12.75" hidden="1">
      <c r="O45" s="168"/>
    </row>
    <row r="46" ht="12.75" hidden="1">
      <c r="O46" s="168"/>
    </row>
    <row r="47" ht="12.75" hidden="1">
      <c r="O47" s="168"/>
    </row>
    <row r="48" ht="12.75" hidden="1">
      <c r="O48" s="168"/>
    </row>
    <row r="49" ht="12.75" hidden="1">
      <c r="O49" s="168"/>
    </row>
    <row r="50" ht="12.75" hidden="1">
      <c r="O50" s="168"/>
    </row>
    <row r="51" spans="2:15" ht="12.75" hidden="1">
      <c r="B51" s="950">
        <f>B32-B23</f>
        <v>3169307</v>
      </c>
      <c r="E51" s="168">
        <f>+H51-B51</f>
        <v>2120411246.61</v>
      </c>
      <c r="H51" s="168">
        <f>H32-H23</f>
        <v>2123580553.61</v>
      </c>
      <c r="I51" s="168">
        <f>+I32-I23</f>
        <v>1116247.93</v>
      </c>
      <c r="O51" s="168">
        <f>+O32-O23</f>
        <v>2097869136.12</v>
      </c>
    </row>
    <row r="54" ht="12.75">
      <c r="E54" s="168">
        <f>+'GRAP APP B'!D79</f>
        <v>1761088</v>
      </c>
    </row>
    <row r="56" ht="12.75">
      <c r="E56" s="950">
        <f>E54-E51</f>
        <v>-2118650159</v>
      </c>
    </row>
  </sheetData>
  <sheetProtection/>
  <mergeCells count="8">
    <mergeCell ref="A27:Q27"/>
    <mergeCell ref="A2:Q2"/>
    <mergeCell ref="A3:Q3"/>
    <mergeCell ref="A4:Q4"/>
    <mergeCell ref="B6:H6"/>
    <mergeCell ref="I6:O6"/>
    <mergeCell ref="P6:P7"/>
    <mergeCell ref="Q6:Q7"/>
  </mergeCells>
  <printOptions horizontalCentered="1"/>
  <pageMargins left="0.17" right="0.2755905511811024" top="0.984251968503937" bottom="0.984251968503937" header="0.5118110236220472" footer="0.5118110236220472"/>
  <pageSetup horizontalDpi="600" verticalDpi="600" orientation="landscape" paperSize="9" scale="60" r:id="rId1"/>
  <headerFooter alignWithMargins="0">
    <oddFooter>&amp;C- 34 -
</oddFooter>
  </headerFooter>
</worksheet>
</file>

<file path=xl/worksheets/sheet14.xml><?xml version="1.0" encoding="utf-8"?>
<worksheet xmlns="http://schemas.openxmlformats.org/spreadsheetml/2006/main" xmlns:r="http://schemas.openxmlformats.org/officeDocument/2006/relationships">
  <dimension ref="A1:P34"/>
  <sheetViews>
    <sheetView zoomScalePageLayoutView="0" workbookViewId="0" topLeftCell="A10">
      <selection activeCell="A33" sqref="A33"/>
    </sheetView>
  </sheetViews>
  <sheetFormatPr defaultColWidth="9.140625" defaultRowHeight="12.75"/>
  <cols>
    <col min="1" max="1" width="17.57421875" style="184" bestFit="1" customWidth="1"/>
    <col min="2" max="3" width="18.28125" style="184" bestFit="1" customWidth="1"/>
    <col min="4" max="4" width="31.8515625" style="184" bestFit="1" customWidth="1"/>
    <col min="5" max="5" width="18.28125" style="184" bestFit="1" customWidth="1"/>
    <col min="6" max="6" width="18.00390625" style="184" bestFit="1" customWidth="1"/>
    <col min="7" max="7" width="16.28125" style="184" bestFit="1" customWidth="1"/>
    <col min="8" max="8" width="2.8515625" style="184" customWidth="1"/>
    <col min="9" max="9" width="37.57421875" style="351" hidden="1" customWidth="1"/>
    <col min="10" max="10" width="6.140625" style="352" hidden="1" customWidth="1"/>
    <col min="11" max="11" width="31.8515625" style="184" hidden="1" customWidth="1"/>
    <col min="12" max="12" width="14.140625" style="184" hidden="1" customWidth="1"/>
    <col min="13" max="13" width="15.00390625" style="185" hidden="1" customWidth="1"/>
    <col min="14" max="14" width="0" style="185" hidden="1" customWidth="1"/>
    <col min="15" max="15" width="15.00390625" style="185" hidden="1" customWidth="1"/>
    <col min="16" max="16" width="14.00390625" style="184" hidden="1" customWidth="1"/>
    <col min="17" max="22" width="0" style="184" hidden="1" customWidth="1"/>
    <col min="23" max="23" width="11.00390625" style="184" bestFit="1" customWidth="1"/>
    <col min="24" max="24" width="10.00390625" style="184" bestFit="1" customWidth="1"/>
    <col min="25" max="16384" width="9.140625" style="184" customWidth="1"/>
  </cols>
  <sheetData>
    <row r="1" spans="1:15" s="144" customFormat="1" ht="15.75">
      <c r="A1" s="1306" t="s">
        <v>1185</v>
      </c>
      <c r="B1" s="1306"/>
      <c r="C1" s="1306"/>
      <c r="D1" s="1306"/>
      <c r="E1" s="1306"/>
      <c r="F1" s="1306"/>
      <c r="G1" s="1306"/>
      <c r="I1" s="309"/>
      <c r="J1" s="310"/>
      <c r="M1" s="168"/>
      <c r="N1" s="168"/>
      <c r="O1" s="168"/>
    </row>
    <row r="2" spans="1:7" ht="15.75">
      <c r="A2" s="1306" t="s">
        <v>1672</v>
      </c>
      <c r="B2" s="1306"/>
      <c r="C2" s="1306"/>
      <c r="D2" s="1306"/>
      <c r="E2" s="1306"/>
      <c r="F2" s="1306"/>
      <c r="G2" s="1306"/>
    </row>
    <row r="3" spans="1:15" s="144" customFormat="1" ht="15.75">
      <c r="A3" s="1306" t="s">
        <v>1673</v>
      </c>
      <c r="B3" s="1306"/>
      <c r="C3" s="1306"/>
      <c r="D3" s="1306"/>
      <c r="E3" s="1306"/>
      <c r="F3" s="1306"/>
      <c r="G3" s="1306"/>
      <c r="I3" s="309"/>
      <c r="J3" s="310"/>
      <c r="M3" s="168"/>
      <c r="N3" s="168"/>
      <c r="O3" s="168"/>
    </row>
    <row r="4" spans="1:7" ht="16.5" thickBot="1">
      <c r="A4" s="1322" t="s">
        <v>597</v>
      </c>
      <c r="B4" s="1323"/>
      <c r="C4" s="1323"/>
      <c r="D4" s="1323"/>
      <c r="E4" s="1323"/>
      <c r="F4" s="1323"/>
      <c r="G4" s="1323"/>
    </row>
    <row r="5" spans="1:10" ht="12.75">
      <c r="A5" s="554">
        <v>2008</v>
      </c>
      <c r="B5" s="555">
        <v>2008</v>
      </c>
      <c r="C5" s="546">
        <v>2008</v>
      </c>
      <c r="D5" s="543"/>
      <c r="E5" s="556">
        <v>2009</v>
      </c>
      <c r="F5" s="556">
        <v>2009</v>
      </c>
      <c r="G5" s="557">
        <v>2009</v>
      </c>
      <c r="I5" s="159"/>
      <c r="J5" s="159"/>
    </row>
    <row r="6" spans="1:10" ht="12.75">
      <c r="A6" s="558" t="s">
        <v>1181</v>
      </c>
      <c r="B6" s="551" t="s">
        <v>1181</v>
      </c>
      <c r="C6" s="353" t="s">
        <v>1181</v>
      </c>
      <c r="D6" s="544"/>
      <c r="E6" s="552" t="s">
        <v>1181</v>
      </c>
      <c r="F6" s="552" t="s">
        <v>1181</v>
      </c>
      <c r="G6" s="565" t="s">
        <v>1181</v>
      </c>
      <c r="I6" s="160"/>
      <c r="J6" s="159"/>
    </row>
    <row r="7" spans="1:10" ht="12.75">
      <c r="A7" s="558" t="s">
        <v>1267</v>
      </c>
      <c r="B7" s="551" t="s">
        <v>1268</v>
      </c>
      <c r="C7" s="353" t="s">
        <v>1269</v>
      </c>
      <c r="D7" s="544"/>
      <c r="E7" s="552" t="s">
        <v>1267</v>
      </c>
      <c r="F7" s="552" t="s">
        <v>1268</v>
      </c>
      <c r="G7" s="565" t="s">
        <v>1269</v>
      </c>
      <c r="I7" s="160"/>
      <c r="J7" s="159"/>
    </row>
    <row r="8" spans="1:10" ht="12.75">
      <c r="A8" s="558"/>
      <c r="B8" s="551"/>
      <c r="C8" s="353" t="s">
        <v>142</v>
      </c>
      <c r="D8" s="544"/>
      <c r="E8" s="552"/>
      <c r="F8" s="552"/>
      <c r="G8" s="353" t="s">
        <v>142</v>
      </c>
      <c r="I8" s="160"/>
      <c r="J8" s="159"/>
    </row>
    <row r="9" spans="1:10" ht="13.5" thickBot="1">
      <c r="A9" s="559" t="s">
        <v>1186</v>
      </c>
      <c r="B9" s="560" t="s">
        <v>1186</v>
      </c>
      <c r="C9" s="561" t="s">
        <v>1186</v>
      </c>
      <c r="D9" s="564" t="s">
        <v>1266</v>
      </c>
      <c r="E9" s="562" t="s">
        <v>1186</v>
      </c>
      <c r="F9" s="562" t="s">
        <v>1186</v>
      </c>
      <c r="G9" s="563" t="s">
        <v>1186</v>
      </c>
      <c r="I9" s="160" t="s">
        <v>1156</v>
      </c>
      <c r="J9" s="159" t="s">
        <v>1657</v>
      </c>
    </row>
    <row r="10" spans="1:15" s="354" customFormat="1" ht="12.75">
      <c r="A10" s="558"/>
      <c r="B10" s="552"/>
      <c r="C10" s="551"/>
      <c r="D10" s="576"/>
      <c r="E10" s="551"/>
      <c r="F10" s="552"/>
      <c r="G10" s="565"/>
      <c r="H10" s="144"/>
      <c r="I10" s="161"/>
      <c r="J10" s="162"/>
      <c r="M10" s="355"/>
      <c r="N10" s="355"/>
      <c r="O10" s="355"/>
    </row>
    <row r="11" spans="1:16" s="354" customFormat="1" ht="12.75">
      <c r="A11" s="697">
        <v>1850333</v>
      </c>
      <c r="B11" s="549">
        <v>25232070</v>
      </c>
      <c r="C11" s="549">
        <f>A11-B11</f>
        <v>-23381737</v>
      </c>
      <c r="D11" s="577" t="s">
        <v>990</v>
      </c>
      <c r="E11" s="698">
        <v>4257327</v>
      </c>
      <c r="F11" s="699">
        <v>32269497</v>
      </c>
      <c r="G11" s="566">
        <f aca="true" t="shared" si="0" ref="G11:G23">E11-F11</f>
        <v>-28012170</v>
      </c>
      <c r="I11" s="356">
        <v>101</v>
      </c>
      <c r="J11" s="357"/>
      <c r="K11" s="358">
        <f aca="true" t="shared" si="1" ref="K11:K25">E11-F11</f>
        <v>-28012170</v>
      </c>
      <c r="M11" s="355">
        <v>25007537</v>
      </c>
      <c r="N11" s="355"/>
      <c r="O11" s="355">
        <v>24978033</v>
      </c>
      <c r="P11" s="359">
        <f>M11-O11</f>
        <v>29504</v>
      </c>
    </row>
    <row r="12" spans="1:16" s="354" customFormat="1" ht="12.75">
      <c r="A12" s="697">
        <v>259924076</v>
      </c>
      <c r="B12" s="549">
        <v>205476856</v>
      </c>
      <c r="C12" s="549">
        <f aca="true" t="shared" si="2" ref="C12:C25">A12-B12</f>
        <v>54447220</v>
      </c>
      <c r="D12" s="577" t="s">
        <v>991</v>
      </c>
      <c r="E12" s="698">
        <v>234047989</v>
      </c>
      <c r="F12" s="699">
        <f>176172300-7679566+362547</f>
        <v>168855281</v>
      </c>
      <c r="G12" s="566">
        <f t="shared" si="0"/>
        <v>65192708</v>
      </c>
      <c r="I12" s="356" t="s">
        <v>1157</v>
      </c>
      <c r="J12" s="357"/>
      <c r="K12" s="358">
        <f t="shared" si="1"/>
        <v>65192708</v>
      </c>
      <c r="M12" s="355">
        <v>199863891</v>
      </c>
      <c r="N12" s="355"/>
      <c r="O12" s="355">
        <v>182205899</v>
      </c>
      <c r="P12" s="359">
        <f aca="true" t="shared" si="3" ref="P12:P25">M12-O12</f>
        <v>17657992</v>
      </c>
    </row>
    <row r="13" spans="1:16" s="354" customFormat="1" ht="12.75">
      <c r="A13" s="697">
        <v>4750836</v>
      </c>
      <c r="B13" s="549">
        <v>14415904</v>
      </c>
      <c r="C13" s="549">
        <f t="shared" si="2"/>
        <v>-9665068</v>
      </c>
      <c r="D13" s="577" t="s">
        <v>992</v>
      </c>
      <c r="E13" s="698">
        <v>2769315.86</v>
      </c>
      <c r="F13" s="699">
        <v>17619931</v>
      </c>
      <c r="G13" s="566">
        <f t="shared" si="0"/>
        <v>-14850615</v>
      </c>
      <c r="I13" s="356">
        <v>301</v>
      </c>
      <c r="J13" s="357"/>
      <c r="K13" s="358">
        <f t="shared" si="1"/>
        <v>-14850615</v>
      </c>
      <c r="M13" s="355">
        <v>14483882</v>
      </c>
      <c r="N13" s="355"/>
      <c r="O13" s="355">
        <v>14433670</v>
      </c>
      <c r="P13" s="359">
        <f t="shared" si="3"/>
        <v>50212</v>
      </c>
    </row>
    <row r="14" spans="1:16" s="354" customFormat="1" ht="12.75">
      <c r="A14" s="697">
        <v>7273482</v>
      </c>
      <c r="B14" s="549">
        <v>11280816</v>
      </c>
      <c r="C14" s="549">
        <f t="shared" si="2"/>
        <v>-4007334</v>
      </c>
      <c r="D14" s="577" t="s">
        <v>1158</v>
      </c>
      <c r="E14" s="698">
        <v>6113787</v>
      </c>
      <c r="F14" s="699">
        <v>9593657</v>
      </c>
      <c r="G14" s="566">
        <f t="shared" si="0"/>
        <v>-3479870</v>
      </c>
      <c r="I14" s="356" t="s">
        <v>1159</v>
      </c>
      <c r="J14" s="357"/>
      <c r="K14" s="358">
        <f t="shared" si="1"/>
        <v>-3479870</v>
      </c>
      <c r="M14" s="355">
        <v>11074173</v>
      </c>
      <c r="N14" s="355"/>
      <c r="O14" s="355">
        <v>10946879</v>
      </c>
      <c r="P14" s="359">
        <f t="shared" si="3"/>
        <v>127294</v>
      </c>
    </row>
    <row r="15" spans="1:16" s="354" customFormat="1" ht="12.75">
      <c r="A15" s="697">
        <v>9026621</v>
      </c>
      <c r="B15" s="549">
        <v>23646060</v>
      </c>
      <c r="C15" s="549">
        <f t="shared" si="2"/>
        <v>-14619439</v>
      </c>
      <c r="D15" s="577" t="s">
        <v>993</v>
      </c>
      <c r="E15" s="698">
        <v>47100233</v>
      </c>
      <c r="F15" s="699">
        <v>23570625</v>
      </c>
      <c r="G15" s="566">
        <f t="shared" si="0"/>
        <v>23529608</v>
      </c>
      <c r="I15" s="356" t="s">
        <v>1160</v>
      </c>
      <c r="J15" s="357"/>
      <c r="K15" s="358">
        <f t="shared" si="1"/>
        <v>23529608</v>
      </c>
      <c r="M15" s="355">
        <v>23239714</v>
      </c>
      <c r="N15" s="355"/>
      <c r="O15" s="355">
        <v>23016555</v>
      </c>
      <c r="P15" s="359">
        <f t="shared" si="3"/>
        <v>223159</v>
      </c>
    </row>
    <row r="16" spans="1:16" s="354" customFormat="1" ht="12.75">
      <c r="A16" s="697">
        <v>94650</v>
      </c>
      <c r="B16" s="549">
        <v>7874580</v>
      </c>
      <c r="C16" s="549">
        <f t="shared" si="2"/>
        <v>-7779930</v>
      </c>
      <c r="D16" s="577" t="s">
        <v>1161</v>
      </c>
      <c r="E16" s="698">
        <v>1978173</v>
      </c>
      <c r="F16" s="699">
        <v>6151364</v>
      </c>
      <c r="G16" s="566">
        <f t="shared" si="0"/>
        <v>-4173191</v>
      </c>
      <c r="I16" s="356">
        <v>601</v>
      </c>
      <c r="J16" s="357"/>
      <c r="K16" s="358">
        <f t="shared" si="1"/>
        <v>-4173191</v>
      </c>
      <c r="M16" s="355">
        <v>7891156</v>
      </c>
      <c r="N16" s="355"/>
      <c r="O16" s="355">
        <v>7891157</v>
      </c>
      <c r="P16" s="359">
        <f t="shared" si="3"/>
        <v>-1</v>
      </c>
    </row>
    <row r="17" spans="1:16" s="354" customFormat="1" ht="12.75">
      <c r="A17" s="697">
        <v>17396381</v>
      </c>
      <c r="B17" s="549">
        <v>50553625</v>
      </c>
      <c r="C17" s="549">
        <f t="shared" si="2"/>
        <v>-33157244</v>
      </c>
      <c r="D17" s="577" t="s">
        <v>994</v>
      </c>
      <c r="E17" s="698">
        <v>12820788</v>
      </c>
      <c r="F17" s="699">
        <v>55910227</v>
      </c>
      <c r="G17" s="566">
        <f t="shared" si="0"/>
        <v>-43089439</v>
      </c>
      <c r="I17" s="356" t="s">
        <v>1162</v>
      </c>
      <c r="J17" s="357"/>
      <c r="K17" s="358">
        <f t="shared" si="1"/>
        <v>-43089439</v>
      </c>
      <c r="M17" s="355">
        <v>49114703</v>
      </c>
      <c r="N17" s="355"/>
      <c r="O17" s="355">
        <v>48817306</v>
      </c>
      <c r="P17" s="359">
        <f t="shared" si="3"/>
        <v>297397</v>
      </c>
    </row>
    <row r="18" spans="1:16" s="354" customFormat="1" ht="12.75">
      <c r="A18" s="697">
        <v>2475716</v>
      </c>
      <c r="B18" s="549">
        <v>38757550</v>
      </c>
      <c r="C18" s="549">
        <f t="shared" si="2"/>
        <v>-36281834</v>
      </c>
      <c r="D18" s="577" t="s">
        <v>995</v>
      </c>
      <c r="E18" s="698">
        <v>3385975.33</v>
      </c>
      <c r="F18" s="699">
        <v>42395535</v>
      </c>
      <c r="G18" s="566">
        <f t="shared" si="0"/>
        <v>-39009560</v>
      </c>
      <c r="I18" s="356">
        <v>801</v>
      </c>
      <c r="J18" s="357"/>
      <c r="K18" s="358">
        <f t="shared" si="1"/>
        <v>-39009560</v>
      </c>
      <c r="M18" s="355">
        <v>38056614</v>
      </c>
      <c r="N18" s="355"/>
      <c r="O18" s="355">
        <v>37676606</v>
      </c>
      <c r="P18" s="359">
        <f t="shared" si="3"/>
        <v>380008</v>
      </c>
    </row>
    <row r="19" spans="1:16" s="354" customFormat="1" ht="12.75">
      <c r="A19" s="697">
        <v>132563</v>
      </c>
      <c r="B19" s="549">
        <v>3881612</v>
      </c>
      <c r="C19" s="549">
        <f t="shared" si="2"/>
        <v>-3749049</v>
      </c>
      <c r="D19" s="577" t="s">
        <v>996</v>
      </c>
      <c r="E19" s="698">
        <v>72298.34</v>
      </c>
      <c r="F19" s="699">
        <v>3283012.01</v>
      </c>
      <c r="G19" s="566">
        <f t="shared" si="0"/>
        <v>-3210714</v>
      </c>
      <c r="I19" s="356" t="s">
        <v>1163</v>
      </c>
      <c r="J19" s="357"/>
      <c r="K19" s="358">
        <f t="shared" si="1"/>
        <v>-3210714</v>
      </c>
      <c r="M19" s="355">
        <v>3871509</v>
      </c>
      <c r="N19" s="355"/>
      <c r="O19" s="355">
        <v>3869042</v>
      </c>
      <c r="P19" s="359">
        <f t="shared" si="3"/>
        <v>2467</v>
      </c>
    </row>
    <row r="20" spans="1:16" s="354" customFormat="1" ht="12.75">
      <c r="A20" s="697">
        <v>104519559</v>
      </c>
      <c r="B20" s="549">
        <v>84179017</v>
      </c>
      <c r="C20" s="549">
        <f t="shared" si="2"/>
        <v>20340542</v>
      </c>
      <c r="D20" s="577" t="s">
        <v>997</v>
      </c>
      <c r="E20" s="698">
        <v>158400033</v>
      </c>
      <c r="F20" s="699">
        <v>100015489</v>
      </c>
      <c r="G20" s="566">
        <f t="shared" si="0"/>
        <v>58384544</v>
      </c>
      <c r="I20" s="356" t="s">
        <v>1164</v>
      </c>
      <c r="J20" s="357"/>
      <c r="K20" s="358">
        <f t="shared" si="1"/>
        <v>58384544</v>
      </c>
      <c r="M20" s="355">
        <v>84112471</v>
      </c>
      <c r="N20" s="355"/>
      <c r="O20" s="355">
        <v>84095733</v>
      </c>
      <c r="P20" s="359">
        <f t="shared" si="3"/>
        <v>16738</v>
      </c>
    </row>
    <row r="21" spans="1:16" s="354" customFormat="1" ht="12.75">
      <c r="A21" s="697">
        <v>23774012</v>
      </c>
      <c r="B21" s="549">
        <v>26647915</v>
      </c>
      <c r="C21" s="549">
        <f t="shared" si="2"/>
        <v>-2873903</v>
      </c>
      <c r="D21" s="577" t="s">
        <v>1165</v>
      </c>
      <c r="E21" s="698">
        <v>25535302</v>
      </c>
      <c r="F21" s="699">
        <v>32064242</v>
      </c>
      <c r="G21" s="566">
        <f t="shared" si="0"/>
        <v>-6528940</v>
      </c>
      <c r="I21" s="356" t="s">
        <v>1166</v>
      </c>
      <c r="J21" s="357"/>
      <c r="K21" s="358">
        <f t="shared" si="1"/>
        <v>-6528940</v>
      </c>
      <c r="M21" s="355">
        <v>26542221</v>
      </c>
      <c r="N21" s="355"/>
      <c r="O21" s="355">
        <v>25395028</v>
      </c>
      <c r="P21" s="359">
        <f t="shared" si="3"/>
        <v>1147193</v>
      </c>
    </row>
    <row r="22" spans="1:16" s="354" customFormat="1" ht="12.75">
      <c r="A22" s="697">
        <v>165903826</v>
      </c>
      <c r="B22" s="549">
        <v>120199881</v>
      </c>
      <c r="C22" s="549">
        <f t="shared" si="2"/>
        <v>45703945</v>
      </c>
      <c r="D22" s="577" t="s">
        <v>1167</v>
      </c>
      <c r="E22" s="698">
        <v>184718615</v>
      </c>
      <c r="F22" s="699">
        <v>135231847</v>
      </c>
      <c r="G22" s="566">
        <f t="shared" si="0"/>
        <v>49486768</v>
      </c>
      <c r="I22" s="356" t="s">
        <v>1168</v>
      </c>
      <c r="J22" s="357"/>
      <c r="K22" s="358">
        <f t="shared" si="1"/>
        <v>49486768</v>
      </c>
      <c r="M22" s="355">
        <v>120030423</v>
      </c>
      <c r="N22" s="355"/>
      <c r="O22" s="355">
        <v>120129709</v>
      </c>
      <c r="P22" s="359">
        <f t="shared" si="3"/>
        <v>-99286</v>
      </c>
    </row>
    <row r="23" spans="1:16" s="354" customFormat="1" ht="12.75">
      <c r="A23" s="697">
        <v>253599773</v>
      </c>
      <c r="B23" s="549">
        <v>189819213</v>
      </c>
      <c r="C23" s="549">
        <f t="shared" si="2"/>
        <v>63780560</v>
      </c>
      <c r="D23" s="577" t="s">
        <v>1169</v>
      </c>
      <c r="E23" s="698">
        <v>347499553</v>
      </c>
      <c r="F23" s="699">
        <v>247051064</v>
      </c>
      <c r="G23" s="566">
        <f t="shared" si="0"/>
        <v>100448489</v>
      </c>
      <c r="I23" s="356" t="s">
        <v>1170</v>
      </c>
      <c r="J23" s="357"/>
      <c r="K23" s="358">
        <f t="shared" si="1"/>
        <v>100448489</v>
      </c>
      <c r="M23" s="355">
        <v>189624889</v>
      </c>
      <c r="N23" s="355"/>
      <c r="O23" s="355">
        <v>189657948</v>
      </c>
      <c r="P23" s="359">
        <f t="shared" si="3"/>
        <v>-33059</v>
      </c>
    </row>
    <row r="24" spans="1:16" s="354" customFormat="1" ht="12.75">
      <c r="A24" s="960">
        <v>0</v>
      </c>
      <c r="B24" s="549">
        <v>594727</v>
      </c>
      <c r="C24" s="549">
        <f t="shared" si="2"/>
        <v>-594727</v>
      </c>
      <c r="D24" s="545" t="s">
        <v>1133</v>
      </c>
      <c r="E24" s="157">
        <v>0</v>
      </c>
      <c r="F24" s="699">
        <f>892648+2</f>
        <v>892650</v>
      </c>
      <c r="G24" s="566">
        <f>E24-F24+1</f>
        <v>-892649</v>
      </c>
      <c r="I24" s="356" t="s">
        <v>1171</v>
      </c>
      <c r="J24" s="357"/>
      <c r="K24" s="358">
        <f t="shared" si="1"/>
        <v>-892650</v>
      </c>
      <c r="M24" s="355">
        <v>599818</v>
      </c>
      <c r="N24" s="355"/>
      <c r="O24" s="355">
        <v>597771</v>
      </c>
      <c r="P24" s="359">
        <f t="shared" si="3"/>
        <v>2047</v>
      </c>
    </row>
    <row r="25" spans="1:16" s="144" customFormat="1" ht="13.5" thickBot="1">
      <c r="A25" s="1208">
        <f>SUM(A11:A24)</f>
        <v>850721828</v>
      </c>
      <c r="B25" s="1209">
        <f>SUM(B11:B24)</f>
        <v>802559826</v>
      </c>
      <c r="C25" s="1209">
        <f t="shared" si="2"/>
        <v>48162002</v>
      </c>
      <c r="D25" s="578" t="s">
        <v>1681</v>
      </c>
      <c r="E25" s="1209">
        <f>SUM(E11:E24)</f>
        <v>1028699390</v>
      </c>
      <c r="F25" s="1209">
        <f>SUM(F11:F24)</f>
        <v>874904421</v>
      </c>
      <c r="G25" s="1210">
        <f>SUM(G11:G24)</f>
        <v>153794969</v>
      </c>
      <c r="H25" s="354"/>
      <c r="I25" s="360"/>
      <c r="J25" s="361"/>
      <c r="K25" s="151">
        <f t="shared" si="1"/>
        <v>153794969</v>
      </c>
      <c r="L25" s="144" t="s">
        <v>537</v>
      </c>
      <c r="M25" s="168">
        <f>SUM(M11:M24)</f>
        <v>793513001</v>
      </c>
      <c r="N25" s="168"/>
      <c r="O25" s="168">
        <v>773900893</v>
      </c>
      <c r="P25" s="150">
        <f t="shared" si="3"/>
        <v>19612108</v>
      </c>
    </row>
    <row r="26" spans="1:12" ht="13.5" thickTop="1">
      <c r="A26" s="567"/>
      <c r="B26" s="544"/>
      <c r="C26" s="544"/>
      <c r="D26" s="579"/>
      <c r="E26" s="544"/>
      <c r="F26" s="544"/>
      <c r="G26" s="568"/>
      <c r="H26" s="144"/>
      <c r="I26" s="164"/>
      <c r="J26" s="165"/>
      <c r="K26" s="268">
        <f>E26+F26</f>
        <v>0</v>
      </c>
      <c r="L26" s="203">
        <f>'Grap i&amp;E'!D22</f>
        <v>1021019824</v>
      </c>
    </row>
    <row r="27" spans="1:13" ht="12.75">
      <c r="A27" s="569">
        <v>0</v>
      </c>
      <c r="B27" s="553">
        <v>0</v>
      </c>
      <c r="C27" s="553">
        <v>0</v>
      </c>
      <c r="D27" s="579" t="s">
        <v>36</v>
      </c>
      <c r="E27" s="553">
        <f>'Grap i&amp;E'!D20</f>
        <v>7679566</v>
      </c>
      <c r="F27" s="553">
        <v>0</v>
      </c>
      <c r="G27" s="566">
        <f>E27-F27</f>
        <v>7679566</v>
      </c>
      <c r="I27" s="160"/>
      <c r="J27" s="159">
        <v>5000</v>
      </c>
      <c r="K27" s="268">
        <f>E27+F27</f>
        <v>7679566</v>
      </c>
      <c r="L27" s="203">
        <f>'Grap i&amp;E'!D39</f>
        <v>874904421</v>
      </c>
      <c r="M27" s="185">
        <f>E25-L26</f>
        <v>7679566</v>
      </c>
    </row>
    <row r="28" spans="1:15" s="144" customFormat="1" ht="12.75">
      <c r="A28" s="569"/>
      <c r="B28" s="553"/>
      <c r="C28" s="581"/>
      <c r="D28" s="580"/>
      <c r="E28" s="553"/>
      <c r="F28" s="553"/>
      <c r="G28" s="570"/>
      <c r="H28" s="184"/>
      <c r="I28" s="360"/>
      <c r="J28" s="361"/>
      <c r="K28" s="151">
        <f>E28+F28</f>
        <v>0</v>
      </c>
      <c r="L28" s="144" t="s">
        <v>538</v>
      </c>
      <c r="M28" s="168"/>
      <c r="N28" s="168"/>
      <c r="O28" s="168"/>
    </row>
    <row r="29" spans="1:15" s="175" customFormat="1" ht="13.5" thickBot="1">
      <c r="A29" s="571">
        <f>A25</f>
        <v>850721828</v>
      </c>
      <c r="B29" s="550">
        <f>B25</f>
        <v>802559826</v>
      </c>
      <c r="C29" s="547">
        <f>C25</f>
        <v>48162002</v>
      </c>
      <c r="D29" s="166" t="s">
        <v>1178</v>
      </c>
      <c r="E29" s="550">
        <f>E25-E27</f>
        <v>1021019824</v>
      </c>
      <c r="F29" s="550">
        <f>F25-F27</f>
        <v>874904421</v>
      </c>
      <c r="G29" s="550">
        <f>G25-G27</f>
        <v>146115403</v>
      </c>
      <c r="H29" s="143"/>
      <c r="I29" s="164"/>
      <c r="J29" s="165"/>
      <c r="K29" s="268">
        <f>'Grap i&amp;E'!D41</f>
        <v>146115403</v>
      </c>
      <c r="M29" s="181"/>
      <c r="N29" s="181"/>
      <c r="O29" s="181"/>
    </row>
    <row r="30" spans="1:15" s="144" customFormat="1" ht="14.25" thickBot="1" thickTop="1">
      <c r="A30" s="572"/>
      <c r="B30" s="573"/>
      <c r="C30" s="548"/>
      <c r="D30" s="167"/>
      <c r="E30" s="574"/>
      <c r="F30" s="574"/>
      <c r="G30" s="575"/>
      <c r="H30" s="184"/>
      <c r="I30" s="360"/>
      <c r="J30" s="361"/>
      <c r="K30" s="175" t="s">
        <v>536</v>
      </c>
      <c r="M30" s="168"/>
      <c r="N30" s="168"/>
      <c r="O30" s="168"/>
    </row>
    <row r="31" spans="3:15" s="144" customFormat="1" ht="12.75">
      <c r="C31" s="148"/>
      <c r="I31" s="151">
        <f>G29-K29</f>
        <v>0</v>
      </c>
      <c r="J31" s="310"/>
      <c r="M31" s="168"/>
      <c r="N31" s="168"/>
      <c r="O31" s="168"/>
    </row>
    <row r="32" spans="1:7" ht="12.75">
      <c r="A32" s="1289" t="s">
        <v>150</v>
      </c>
      <c r="B32" s="1260"/>
      <c r="C32" s="1260"/>
      <c r="D32" s="1260"/>
      <c r="E32" s="1260"/>
      <c r="F32" s="1260"/>
      <c r="G32" s="1260"/>
    </row>
    <row r="33" ht="12.75">
      <c r="F33" s="144" t="s">
        <v>1587</v>
      </c>
    </row>
    <row r="34" ht="12.75">
      <c r="F34" s="151" t="s">
        <v>1587</v>
      </c>
    </row>
  </sheetData>
  <sheetProtection/>
  <mergeCells count="5">
    <mergeCell ref="A1:G1"/>
    <mergeCell ref="A32:G32"/>
    <mergeCell ref="A2:G2"/>
    <mergeCell ref="A3:G3"/>
    <mergeCell ref="A4:G4"/>
  </mergeCells>
  <printOptions horizontalCentered="1"/>
  <pageMargins left="0.4330708661417323" right="0.7480314960629921" top="0.984251968503937" bottom="0.984251968503937" header="0.5118110236220472" footer="0.5118110236220472"/>
  <pageSetup horizontalDpi="600" verticalDpi="600" orientation="landscape" paperSize="9" scale="90" r:id="rId1"/>
  <headerFooter alignWithMargins="0">
    <oddFooter>&amp;C- 35 -
</odd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2:K47"/>
  <sheetViews>
    <sheetView zoomScale="75" zoomScaleNormal="75" zoomScalePageLayoutView="0" workbookViewId="0" topLeftCell="A29">
      <selection activeCell="C53" sqref="C53"/>
    </sheetView>
  </sheetViews>
  <sheetFormatPr defaultColWidth="9.140625" defaultRowHeight="12.75"/>
  <cols>
    <col min="1" max="1" width="42.7109375" style="363" bestFit="1" customWidth="1"/>
    <col min="2" max="2" width="16.140625" style="364" bestFit="1" customWidth="1"/>
    <col min="3" max="3" width="16.28125" style="364" customWidth="1"/>
    <col min="4" max="4" width="16.140625" style="364" customWidth="1"/>
    <col min="5" max="5" width="10.57421875" style="363" customWidth="1"/>
    <col min="6" max="6" width="69.140625" style="363" customWidth="1"/>
    <col min="7" max="7" width="32.8515625" style="363" bestFit="1" customWidth="1"/>
    <col min="8" max="8" width="19.28125" style="363" bestFit="1" customWidth="1"/>
    <col min="9" max="9" width="24.140625" style="363" customWidth="1"/>
    <col min="10" max="10" width="26.140625" style="362" customWidth="1"/>
    <col min="11" max="11" width="34.7109375" style="363" customWidth="1"/>
    <col min="12" max="12" width="38.8515625" style="363" customWidth="1"/>
    <col min="13" max="16384" width="9.140625" style="363" customWidth="1"/>
  </cols>
  <sheetData>
    <row r="2" spans="1:9" ht="15.75">
      <c r="A2" s="1287" t="s">
        <v>1185</v>
      </c>
      <c r="B2" s="1287"/>
      <c r="C2" s="1287"/>
      <c r="D2" s="1287"/>
      <c r="E2" s="1287"/>
      <c r="F2" s="1287"/>
      <c r="G2" s="215"/>
      <c r="H2" s="215"/>
      <c r="I2" s="215"/>
    </row>
    <row r="3" spans="1:9" ht="15.75">
      <c r="A3" s="1287" t="s">
        <v>1674</v>
      </c>
      <c r="B3" s="1287"/>
      <c r="C3" s="1287"/>
      <c r="D3" s="1287"/>
      <c r="E3" s="1287"/>
      <c r="F3" s="1287"/>
      <c r="G3" s="215"/>
      <c r="H3" s="215"/>
      <c r="I3" s="215"/>
    </row>
    <row r="4" spans="1:9" ht="20.25" customHeight="1">
      <c r="A4" s="1306" t="s">
        <v>759</v>
      </c>
      <c r="B4" s="1287"/>
      <c r="C4" s="1287"/>
      <c r="D4" s="1287"/>
      <c r="E4" s="1287"/>
      <c r="F4" s="1287"/>
      <c r="G4" s="215"/>
      <c r="H4" s="215"/>
      <c r="I4" s="215"/>
    </row>
    <row r="5" spans="1:9" ht="20.25" customHeight="1">
      <c r="A5" s="1306" t="s">
        <v>758</v>
      </c>
      <c r="B5" s="1287"/>
      <c r="C5" s="1287"/>
      <c r="D5" s="1287"/>
      <c r="E5" s="1287"/>
      <c r="F5" s="1287"/>
      <c r="G5" s="215"/>
      <c r="H5" s="215"/>
      <c r="I5" s="215"/>
    </row>
    <row r="6" spans="1:6" ht="15.75" thickBot="1">
      <c r="A6" s="582"/>
      <c r="B6" s="583"/>
      <c r="C6" s="583"/>
      <c r="D6" s="583"/>
      <c r="E6" s="582"/>
      <c r="F6" s="582"/>
    </row>
    <row r="7" spans="1:9" ht="12.75">
      <c r="A7" s="365"/>
      <c r="B7" s="596" t="s">
        <v>1181</v>
      </c>
      <c r="C7" s="584" t="s">
        <v>1182</v>
      </c>
      <c r="D7" s="584" t="s">
        <v>1183</v>
      </c>
      <c r="E7" s="478" t="s">
        <v>1183</v>
      </c>
      <c r="F7" s="1324" t="s">
        <v>1247</v>
      </c>
      <c r="G7" s="215"/>
      <c r="H7" s="214"/>
      <c r="I7" s="215"/>
    </row>
    <row r="8" spans="1:9" ht="12.75">
      <c r="A8" s="366"/>
      <c r="B8" s="597">
        <v>2009</v>
      </c>
      <c r="C8" s="585">
        <f>B8</f>
        <v>2009</v>
      </c>
      <c r="D8" s="585">
        <f>C8</f>
        <v>2009</v>
      </c>
      <c r="E8" s="598">
        <f>D8</f>
        <v>2009</v>
      </c>
      <c r="F8" s="1325"/>
      <c r="G8" s="215"/>
      <c r="H8" s="214"/>
      <c r="I8" s="215"/>
    </row>
    <row r="9" spans="1:9" ht="13.5" thickBot="1">
      <c r="A9" s="366"/>
      <c r="B9" s="599" t="s">
        <v>1186</v>
      </c>
      <c r="C9" s="586" t="s">
        <v>1186</v>
      </c>
      <c r="D9" s="586" t="s">
        <v>1186</v>
      </c>
      <c r="E9" s="605" t="s">
        <v>1675</v>
      </c>
      <c r="F9" s="1326"/>
      <c r="G9" s="215"/>
      <c r="H9" s="213" t="s">
        <v>1657</v>
      </c>
      <c r="I9" s="215"/>
    </row>
    <row r="10" spans="1:9" ht="12.75">
      <c r="A10" s="367" t="s">
        <v>1658</v>
      </c>
      <c r="B10" s="1050"/>
      <c r="C10" s="603"/>
      <c r="D10" s="1058"/>
      <c r="E10" s="604" t="s">
        <v>1587</v>
      </c>
      <c r="F10" s="216"/>
      <c r="G10" s="215"/>
      <c r="H10" s="213"/>
      <c r="I10" s="215"/>
    </row>
    <row r="11" spans="1:8" ht="12.75">
      <c r="A11" s="366" t="s">
        <v>1243</v>
      </c>
      <c r="B11" s="1051">
        <f>'Grap i&amp;E'!D7</f>
        <v>167834292</v>
      </c>
      <c r="C11" s="368">
        <v>151123877</v>
      </c>
      <c r="D11" s="595">
        <f aca="true" t="shared" si="0" ref="D11:D23">B11-C11</f>
        <v>16710415</v>
      </c>
      <c r="E11" s="587">
        <f aca="true" t="shared" si="1" ref="E11:E21">D11/C11</f>
        <v>0.11</v>
      </c>
      <c r="F11" s="265" t="s">
        <v>13</v>
      </c>
      <c r="H11" s="369">
        <v>200</v>
      </c>
    </row>
    <row r="12" spans="1:8" ht="12.75">
      <c r="A12" s="366" t="s">
        <v>948</v>
      </c>
      <c r="B12" s="1051">
        <f>'Grap i&amp;E'!D8</f>
        <v>11815294</v>
      </c>
      <c r="C12" s="368">
        <v>10391389</v>
      </c>
      <c r="D12" s="595">
        <f t="shared" si="0"/>
        <v>1423905</v>
      </c>
      <c r="E12" s="587">
        <f t="shared" si="1"/>
        <v>0.14</v>
      </c>
      <c r="F12" s="265" t="s">
        <v>1276</v>
      </c>
      <c r="H12" s="369" t="s">
        <v>1677</v>
      </c>
    </row>
    <row r="13" spans="1:8" ht="12.75">
      <c r="A13" s="366" t="s">
        <v>949</v>
      </c>
      <c r="B13" s="1051">
        <f>'Grap i&amp;E'!D9</f>
        <v>553493899</v>
      </c>
      <c r="C13" s="368">
        <v>573225249</v>
      </c>
      <c r="D13" s="595">
        <f t="shared" si="0"/>
        <v>-19731350</v>
      </c>
      <c r="E13" s="587">
        <f t="shared" si="1"/>
        <v>-0.03</v>
      </c>
      <c r="F13" s="590" t="s">
        <v>1270</v>
      </c>
      <c r="H13" s="369"/>
    </row>
    <row r="14" spans="1:8" ht="12.75">
      <c r="A14" s="366" t="s">
        <v>1244</v>
      </c>
      <c r="B14" s="1051">
        <f>'Grap i&amp;E'!D10</f>
        <v>3730479</v>
      </c>
      <c r="C14" s="368">
        <v>3522961</v>
      </c>
      <c r="D14" s="595">
        <f t="shared" si="0"/>
        <v>207518</v>
      </c>
      <c r="E14" s="587">
        <f t="shared" si="1"/>
        <v>0.06</v>
      </c>
      <c r="F14" s="590" t="s">
        <v>1271</v>
      </c>
      <c r="H14" s="369">
        <v>700</v>
      </c>
    </row>
    <row r="15" spans="1:8" ht="12.75">
      <c r="A15" s="366" t="s">
        <v>1678</v>
      </c>
      <c r="B15" s="1051">
        <f>'Grap i&amp;E'!D11</f>
        <v>15169682</v>
      </c>
      <c r="C15" s="368">
        <v>3529578</v>
      </c>
      <c r="D15" s="595">
        <f t="shared" si="0"/>
        <v>11640104</v>
      </c>
      <c r="E15" s="587">
        <f t="shared" si="1"/>
        <v>3.3</v>
      </c>
      <c r="F15" s="590" t="s">
        <v>849</v>
      </c>
      <c r="H15" s="369">
        <v>800</v>
      </c>
    </row>
    <row r="16" spans="1:8" ht="12.75">
      <c r="A16" s="366" t="s">
        <v>1660</v>
      </c>
      <c r="B16" s="1051">
        <f>'Grap i&amp;E'!D12</f>
        <v>16920126</v>
      </c>
      <c r="C16" s="368">
        <v>7180174</v>
      </c>
      <c r="D16" s="595">
        <f t="shared" si="0"/>
        <v>9739952</v>
      </c>
      <c r="E16" s="587">
        <f t="shared" si="1"/>
        <v>1.36</v>
      </c>
      <c r="F16" s="590" t="s">
        <v>1273</v>
      </c>
      <c r="H16" s="369">
        <v>1000</v>
      </c>
    </row>
    <row r="17" spans="1:8" ht="12.75">
      <c r="A17" s="366" t="s">
        <v>1661</v>
      </c>
      <c r="B17" s="1051">
        <f>'Grap i&amp;E'!D13</f>
        <v>12657321</v>
      </c>
      <c r="C17" s="368">
        <v>11490630</v>
      </c>
      <c r="D17" s="595">
        <f t="shared" si="0"/>
        <v>1166691</v>
      </c>
      <c r="E17" s="587">
        <f t="shared" si="1"/>
        <v>0.1</v>
      </c>
      <c r="F17" s="590" t="s">
        <v>1274</v>
      </c>
      <c r="H17" s="369">
        <v>1300</v>
      </c>
    </row>
    <row r="18" spans="1:8" ht="12.75">
      <c r="A18" s="366" t="s">
        <v>998</v>
      </c>
      <c r="B18" s="1051">
        <f>'Grap i&amp;E'!D14</f>
        <v>14129</v>
      </c>
      <c r="C18" s="368">
        <v>10204</v>
      </c>
      <c r="D18" s="595">
        <f t="shared" si="0"/>
        <v>3925</v>
      </c>
      <c r="E18" s="587">
        <f t="shared" si="1"/>
        <v>0.38</v>
      </c>
      <c r="F18" s="590" t="s">
        <v>1275</v>
      </c>
      <c r="H18" s="369">
        <v>1400</v>
      </c>
    </row>
    <row r="19" spans="1:8" ht="12.75">
      <c r="A19" s="366" t="s">
        <v>1679</v>
      </c>
      <c r="B19" s="1051">
        <f>'Grap i&amp;E'!D15</f>
        <v>16135131</v>
      </c>
      <c r="C19" s="368">
        <v>4529431</v>
      </c>
      <c r="D19" s="595">
        <f t="shared" si="0"/>
        <v>11605700</v>
      </c>
      <c r="E19" s="587">
        <f t="shared" si="1"/>
        <v>2.56</v>
      </c>
      <c r="F19" s="590" t="s">
        <v>1276</v>
      </c>
      <c r="H19" s="369">
        <v>1500</v>
      </c>
    </row>
    <row r="20" spans="1:11" s="371" customFormat="1" ht="12.75">
      <c r="A20" s="366" t="s">
        <v>999</v>
      </c>
      <c r="B20" s="1051">
        <f>'Grap i&amp;E'!D16</f>
        <v>197537830</v>
      </c>
      <c r="C20" s="368">
        <v>133123816</v>
      </c>
      <c r="D20" s="595">
        <f t="shared" si="0"/>
        <v>64414014</v>
      </c>
      <c r="E20" s="587">
        <f t="shared" si="1"/>
        <v>0.48</v>
      </c>
      <c r="F20" s="590" t="s">
        <v>1277</v>
      </c>
      <c r="G20" s="363"/>
      <c r="H20" s="369">
        <v>1600</v>
      </c>
      <c r="I20" s="363"/>
      <c r="J20" s="362"/>
      <c r="K20" s="370" t="s">
        <v>913</v>
      </c>
    </row>
    <row r="21" spans="1:11" s="371" customFormat="1" ht="12.75">
      <c r="A21" s="372" t="s">
        <v>1429</v>
      </c>
      <c r="B21" s="1052">
        <f>'Grap i&amp;E'!D17</f>
        <v>33391207</v>
      </c>
      <c r="C21" s="1057">
        <f>29685483+21412952</f>
        <v>51098435</v>
      </c>
      <c r="D21" s="1049">
        <f t="shared" si="0"/>
        <v>-17707228</v>
      </c>
      <c r="E21" s="587">
        <f t="shared" si="1"/>
        <v>-0.35</v>
      </c>
      <c r="F21" s="591" t="s">
        <v>1278</v>
      </c>
      <c r="H21" s="374" t="s">
        <v>1680</v>
      </c>
      <c r="J21" s="362"/>
      <c r="K21" s="375">
        <f>'Grap i&amp;E'!D22</f>
        <v>1021019824</v>
      </c>
    </row>
    <row r="22" spans="1:11" s="371" customFormat="1" ht="12.75">
      <c r="A22" s="172" t="s">
        <v>822</v>
      </c>
      <c r="B22" s="1053">
        <f>SUM(B11:B21)</f>
        <v>1028699390</v>
      </c>
      <c r="C22" s="373">
        <f>SUM(C11:C21)</f>
        <v>949225744</v>
      </c>
      <c r="D22" s="593">
        <f>SUM(D11:D21)</f>
        <v>79473646</v>
      </c>
      <c r="E22" s="587"/>
      <c r="F22" s="591"/>
      <c r="H22" s="374"/>
      <c r="J22" s="362"/>
      <c r="K22" s="375"/>
    </row>
    <row r="23" spans="1:11" s="371" customFormat="1" ht="12.75">
      <c r="A23" s="172" t="s">
        <v>14</v>
      </c>
      <c r="B23" s="1053">
        <f>'Grap i&amp;E'!D20</f>
        <v>7679566</v>
      </c>
      <c r="C23" s="373">
        <v>0</v>
      </c>
      <c r="D23" s="593">
        <f t="shared" si="0"/>
        <v>7679566</v>
      </c>
      <c r="E23" s="587"/>
      <c r="F23" s="265" t="s">
        <v>15</v>
      </c>
      <c r="H23" s="374"/>
      <c r="J23" s="362"/>
      <c r="K23" s="375"/>
    </row>
    <row r="24" spans="1:10" ht="13.5" thickBot="1">
      <c r="A24" s="1056" t="s">
        <v>823</v>
      </c>
      <c r="B24" s="459">
        <f>B22-B23</f>
        <v>1021019824</v>
      </c>
      <c r="C24" s="179">
        <f>C22-C23</f>
        <v>949225744</v>
      </c>
      <c r="D24" s="177">
        <f>D22-D23</f>
        <v>71794080</v>
      </c>
      <c r="E24" s="588"/>
      <c r="F24" s="589"/>
      <c r="G24" s="215"/>
      <c r="H24" s="214"/>
      <c r="I24" s="215" t="s">
        <v>909</v>
      </c>
      <c r="J24" s="377"/>
    </row>
    <row r="25" spans="1:11" ht="13.5" thickTop="1">
      <c r="A25" s="366"/>
      <c r="B25" s="1051"/>
      <c r="C25" s="368"/>
      <c r="D25" s="595"/>
      <c r="E25" s="587"/>
      <c r="F25" s="590"/>
      <c r="H25" s="369"/>
      <c r="K25" s="378">
        <f>J25-B27</f>
        <v>-291783557</v>
      </c>
    </row>
    <row r="26" spans="1:11" ht="12.75">
      <c r="A26" s="367" t="s">
        <v>1664</v>
      </c>
      <c r="B26" s="1054"/>
      <c r="C26" s="348"/>
      <c r="D26" s="255"/>
      <c r="E26" s="588"/>
      <c r="F26" s="216"/>
      <c r="G26" s="215"/>
      <c r="H26" s="214"/>
      <c r="I26" s="215"/>
      <c r="K26" s="378">
        <f>J26-B28</f>
        <v>-14245756</v>
      </c>
    </row>
    <row r="27" spans="1:11" ht="12.75">
      <c r="A27" s="366" t="s">
        <v>1682</v>
      </c>
      <c r="B27" s="1051">
        <f>'Grap i&amp;E'!D25</f>
        <v>291783557</v>
      </c>
      <c r="C27" s="368">
        <v>300436389</v>
      </c>
      <c r="D27" s="595">
        <f aca="true" t="shared" si="2" ref="D27:D38">B27-C27</f>
        <v>-8652832</v>
      </c>
      <c r="E27" s="587">
        <f aca="true" t="shared" si="3" ref="E27:E38">D27/C27</f>
        <v>-0.03</v>
      </c>
      <c r="F27" s="590" t="s">
        <v>1270</v>
      </c>
      <c r="H27" s="369" t="s">
        <v>1665</v>
      </c>
      <c r="K27" s="378">
        <f>J27-B29</f>
        <v>-37657743</v>
      </c>
    </row>
    <row r="28" spans="1:11" ht="12.75">
      <c r="A28" s="366" t="s">
        <v>1063</v>
      </c>
      <c r="B28" s="1051">
        <f>'Grap i&amp;E'!D26</f>
        <v>14245756</v>
      </c>
      <c r="C28" s="368">
        <v>14245755</v>
      </c>
      <c r="D28" s="595">
        <f t="shared" si="2"/>
        <v>1</v>
      </c>
      <c r="E28" s="587">
        <f t="shared" si="3"/>
        <v>0</v>
      </c>
      <c r="F28" s="590" t="s">
        <v>1270</v>
      </c>
      <c r="H28" s="213">
        <v>3400</v>
      </c>
      <c r="I28" s="215"/>
      <c r="K28" s="378">
        <f>-'Grap i&amp;E'!D29</f>
        <v>-9227939</v>
      </c>
    </row>
    <row r="29" spans="1:11" ht="12.75">
      <c r="A29" s="366" t="s">
        <v>252</v>
      </c>
      <c r="B29" s="1051">
        <f>'Grap i&amp;E'!D27</f>
        <v>37657743</v>
      </c>
      <c r="C29" s="368">
        <v>64970204</v>
      </c>
      <c r="D29" s="595">
        <f t="shared" si="2"/>
        <v>-27312461</v>
      </c>
      <c r="E29" s="587">
        <f t="shared" si="3"/>
        <v>-0.42</v>
      </c>
      <c r="F29" s="590" t="s">
        <v>1279</v>
      </c>
      <c r="G29" s="363" t="s">
        <v>1683</v>
      </c>
      <c r="H29" s="369">
        <v>3500</v>
      </c>
      <c r="K29" s="378">
        <f>J29-B30</f>
        <v>-2111214</v>
      </c>
    </row>
    <row r="30" spans="1:11" ht="12.75">
      <c r="A30" s="366" t="s">
        <v>1684</v>
      </c>
      <c r="B30" s="1051">
        <f>'Grap i&amp;E'!D28</f>
        <v>2111214</v>
      </c>
      <c r="C30" s="368">
        <v>2111214</v>
      </c>
      <c r="D30" s="595">
        <f t="shared" si="2"/>
        <v>0</v>
      </c>
      <c r="E30" s="587">
        <f t="shared" si="3"/>
        <v>0</v>
      </c>
      <c r="F30" s="590" t="s">
        <v>1270</v>
      </c>
      <c r="H30" s="213"/>
      <c r="I30" s="215"/>
      <c r="K30" s="378">
        <f>J30-B32</f>
        <v>-46677284</v>
      </c>
    </row>
    <row r="31" spans="1:11" ht="12.75">
      <c r="A31" s="366" t="s">
        <v>1245</v>
      </c>
      <c r="B31" s="1051">
        <f>'Grap i&amp;E'!D29+'Grap i&amp;E'!D30</f>
        <v>9964810</v>
      </c>
      <c r="C31" s="368">
        <v>12224054</v>
      </c>
      <c r="D31" s="595">
        <f t="shared" si="2"/>
        <v>-2259244</v>
      </c>
      <c r="E31" s="587">
        <f t="shared" si="3"/>
        <v>-0.18</v>
      </c>
      <c r="F31" s="590" t="s">
        <v>1270</v>
      </c>
      <c r="H31" s="363">
        <v>3700</v>
      </c>
      <c r="K31" s="378">
        <f>J31-B33</f>
        <v>-36619701</v>
      </c>
    </row>
    <row r="32" spans="1:11" ht="12.75">
      <c r="A32" s="366" t="s">
        <v>1000</v>
      </c>
      <c r="B32" s="1051">
        <f>'Grap i&amp;E'!D31</f>
        <v>46677284</v>
      </c>
      <c r="C32" s="368">
        <v>46855240</v>
      </c>
      <c r="D32" s="595">
        <f t="shared" si="2"/>
        <v>-177956</v>
      </c>
      <c r="E32" s="587">
        <f t="shared" si="3"/>
        <v>0</v>
      </c>
      <c r="F32" s="590" t="s">
        <v>1270</v>
      </c>
      <c r="H32" s="369">
        <v>3800</v>
      </c>
      <c r="K32" s="378">
        <f>J32-B34</f>
        <v>-278894865</v>
      </c>
    </row>
    <row r="33" spans="1:11" ht="12.75">
      <c r="A33" s="366" t="s">
        <v>1476</v>
      </c>
      <c r="B33" s="1051">
        <f>'Grap i&amp;E'!D32</f>
        <v>36619701</v>
      </c>
      <c r="C33" s="368">
        <v>28830991</v>
      </c>
      <c r="D33" s="595">
        <f t="shared" si="2"/>
        <v>7788710</v>
      </c>
      <c r="E33" s="587">
        <f t="shared" si="3"/>
        <v>0.27</v>
      </c>
      <c r="F33" s="590" t="s">
        <v>849</v>
      </c>
      <c r="H33" s="369">
        <v>3900</v>
      </c>
      <c r="K33" s="378">
        <f>J33-B35</f>
        <v>-48548287</v>
      </c>
    </row>
    <row r="34" spans="1:11" ht="12.75">
      <c r="A34" s="366" t="s">
        <v>1685</v>
      </c>
      <c r="B34" s="1051">
        <f>'Grap i&amp;E'!D33</f>
        <v>278894865</v>
      </c>
      <c r="C34" s="368">
        <v>278894865</v>
      </c>
      <c r="D34" s="595">
        <f t="shared" si="2"/>
        <v>0</v>
      </c>
      <c r="E34" s="587">
        <f t="shared" si="3"/>
        <v>0</v>
      </c>
      <c r="F34" s="590" t="s">
        <v>1270</v>
      </c>
      <c r="H34" s="369">
        <v>4100</v>
      </c>
      <c r="K34" s="378">
        <f>J34-B36</f>
        <v>-4588636</v>
      </c>
    </row>
    <row r="35" spans="1:11" ht="12.75">
      <c r="A35" s="366" t="s">
        <v>1668</v>
      </c>
      <c r="B35" s="1051">
        <f>'Grap i&amp;E'!D34</f>
        <v>48548287</v>
      </c>
      <c r="C35" s="368">
        <v>49096561</v>
      </c>
      <c r="D35" s="595">
        <f t="shared" si="2"/>
        <v>-548274</v>
      </c>
      <c r="E35" s="587">
        <f t="shared" si="3"/>
        <v>-0.01</v>
      </c>
      <c r="F35" s="590" t="s">
        <v>1270</v>
      </c>
      <c r="H35" s="369">
        <v>4200</v>
      </c>
      <c r="K35" s="378">
        <f>-'Grap i&amp;E'!D36</f>
        <v>-105188853</v>
      </c>
    </row>
    <row r="36" spans="1:11" ht="12.75">
      <c r="A36" s="366" t="s">
        <v>1001</v>
      </c>
      <c r="B36" s="1051">
        <f>'Grap i&amp;E'!D35</f>
        <v>4588636</v>
      </c>
      <c r="C36" s="368">
        <v>4594830</v>
      </c>
      <c r="D36" s="595">
        <f t="shared" si="2"/>
        <v>-6194</v>
      </c>
      <c r="E36" s="587">
        <f t="shared" si="3"/>
        <v>0</v>
      </c>
      <c r="F36" s="590" t="s">
        <v>1270</v>
      </c>
      <c r="H36" s="369">
        <v>4300</v>
      </c>
      <c r="K36" s="378">
        <f>'Grap i&amp;E'!D37</f>
        <v>-1376285</v>
      </c>
    </row>
    <row r="37" spans="1:11" ht="12.75">
      <c r="A37" s="366" t="s">
        <v>1246</v>
      </c>
      <c r="B37" s="1051">
        <f>'Grap i&amp;E'!D36</f>
        <v>105188853</v>
      </c>
      <c r="C37" s="368">
        <f>117943816+30390917</f>
        <v>148334733</v>
      </c>
      <c r="D37" s="595">
        <f t="shared" si="2"/>
        <v>-43145880</v>
      </c>
      <c r="E37" s="587">
        <f t="shared" si="3"/>
        <v>-0.29</v>
      </c>
      <c r="F37" s="592" t="s">
        <v>1280</v>
      </c>
      <c r="H37" s="369" t="s">
        <v>1670</v>
      </c>
      <c r="K37" s="378">
        <f>SUM(K25:K36)</f>
        <v>-876920120</v>
      </c>
    </row>
    <row r="38" spans="1:8" ht="12.75">
      <c r="A38" s="366" t="s">
        <v>951</v>
      </c>
      <c r="B38" s="1051">
        <f>'Grap i&amp;E'!D37</f>
        <v>-1376285</v>
      </c>
      <c r="C38" s="368">
        <v>-1369092</v>
      </c>
      <c r="D38" s="595">
        <f t="shared" si="2"/>
        <v>-7193</v>
      </c>
      <c r="E38" s="587">
        <f t="shared" si="3"/>
        <v>0.01</v>
      </c>
      <c r="F38" s="590" t="s">
        <v>1281</v>
      </c>
      <c r="H38" s="369" t="s">
        <v>1686</v>
      </c>
    </row>
    <row r="39" spans="1:8" ht="12.75">
      <c r="A39" s="366"/>
      <c r="B39" s="1051"/>
      <c r="C39" s="368"/>
      <c r="D39" s="595"/>
      <c r="E39" s="587"/>
      <c r="F39" s="590"/>
      <c r="H39" s="369"/>
    </row>
    <row r="40" spans="1:11" s="371" customFormat="1" ht="13.5" thickBot="1">
      <c r="A40" s="1056" t="s">
        <v>824</v>
      </c>
      <c r="B40" s="459">
        <f>SUM(B27:B38)</f>
        <v>874904421</v>
      </c>
      <c r="C40" s="179">
        <f>SUM(C27:C38)</f>
        <v>949225744</v>
      </c>
      <c r="D40" s="177">
        <f>SUM(D27:D38)</f>
        <v>-74321323</v>
      </c>
      <c r="E40" s="588"/>
      <c r="F40" s="216"/>
      <c r="G40" s="215"/>
      <c r="H40" s="214"/>
      <c r="I40" s="215" t="s">
        <v>910</v>
      </c>
      <c r="J40" s="377"/>
      <c r="K40" s="370" t="s">
        <v>913</v>
      </c>
    </row>
    <row r="41" spans="1:11" s="371" customFormat="1" ht="13.5" thickTop="1">
      <c r="A41" s="376"/>
      <c r="B41" s="1054"/>
      <c r="C41" s="348"/>
      <c r="D41" s="255"/>
      <c r="E41" s="588"/>
      <c r="F41" s="216"/>
      <c r="G41" s="215"/>
      <c r="H41" s="214"/>
      <c r="I41" s="215"/>
      <c r="J41" s="377"/>
      <c r="K41" s="370"/>
    </row>
    <row r="42" spans="1:11" s="380" customFormat="1" ht="13.5" thickBot="1">
      <c r="A42" s="367" t="s">
        <v>1242</v>
      </c>
      <c r="B42" s="660">
        <f>B24-B40</f>
        <v>146115403</v>
      </c>
      <c r="C42" s="379">
        <f>C24-C40</f>
        <v>0</v>
      </c>
      <c r="D42" s="260">
        <f>D24-D40</f>
        <v>146115403</v>
      </c>
      <c r="E42" s="601"/>
      <c r="F42" s="606"/>
      <c r="H42" s="213"/>
      <c r="J42" s="362"/>
      <c r="K42" s="377">
        <f>'Grap i&amp;E'!D39</f>
        <v>874904421</v>
      </c>
    </row>
    <row r="43" spans="1:11" ht="14.25" thickBot="1" thickTop="1">
      <c r="A43" s="381"/>
      <c r="B43" s="1055"/>
      <c r="C43" s="594"/>
      <c r="D43" s="600"/>
      <c r="E43" s="261"/>
      <c r="F43" s="223"/>
      <c r="G43" s="215"/>
      <c r="H43" s="214"/>
      <c r="I43" s="215"/>
      <c r="J43" s="377"/>
      <c r="K43" s="363" t="s">
        <v>539</v>
      </c>
    </row>
    <row r="44" spans="1:8" ht="12.75">
      <c r="A44" s="369"/>
      <c r="H44" s="369"/>
    </row>
    <row r="45" spans="2:8" ht="12.75">
      <c r="B45" s="364" t="s">
        <v>1587</v>
      </c>
      <c r="C45" s="1223" t="s">
        <v>151</v>
      </c>
      <c r="H45" s="369"/>
    </row>
    <row r="46" spans="1:9" ht="12.75">
      <c r="A46" s="215"/>
      <c r="B46" s="246"/>
      <c r="C46" s="246"/>
      <c r="D46" s="246"/>
      <c r="E46" s="215"/>
      <c r="F46" s="215"/>
      <c r="G46" s="215"/>
      <c r="H46" s="215"/>
      <c r="I46" s="215"/>
    </row>
    <row r="47" ht="12.75">
      <c r="I47" s="382"/>
    </row>
  </sheetData>
  <sheetProtection/>
  <mergeCells count="5">
    <mergeCell ref="A2:F2"/>
    <mergeCell ref="F7:F9"/>
    <mergeCell ref="A3:F3"/>
    <mergeCell ref="A4:F4"/>
    <mergeCell ref="A5:F5"/>
  </mergeCells>
  <printOptions horizontalCentered="1"/>
  <pageMargins left="0.4724409448818898" right="0.7480314960629921" top="0.984251968503937" bottom="0.5511811023622047" header="0.5118110236220472" footer="0.5118110236220472"/>
  <pageSetup horizontalDpi="600" verticalDpi="600" orientation="landscape" paperSize="9" scale="75" r:id="rId1"/>
  <headerFooter alignWithMargins="0">
    <oddFooter>&amp;C- 36 -</oddFooter>
  </headerFooter>
  <colBreaks count="1" manualBreakCount="1">
    <brk id="6"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R67"/>
  <sheetViews>
    <sheetView zoomScale="75" zoomScaleNormal="75" zoomScalePageLayoutView="0" workbookViewId="0" topLeftCell="A34">
      <selection activeCell="C66" sqref="C66"/>
    </sheetView>
  </sheetViews>
  <sheetFormatPr defaultColWidth="9.140625" defaultRowHeight="12.75"/>
  <cols>
    <col min="1" max="1" width="31.140625" style="227" bestFit="1" customWidth="1"/>
    <col min="2" max="2" width="16.57421875" style="227" bestFit="1" customWidth="1"/>
    <col min="3" max="3" width="16.421875" style="227" customWidth="1"/>
    <col min="4" max="4" width="16.57421875" style="227" bestFit="1" customWidth="1"/>
    <col min="5" max="5" width="12.57421875" style="229" customWidth="1"/>
    <col min="6" max="6" width="42.00390625" style="227" customWidth="1"/>
    <col min="7" max="7" width="3.421875" style="227" hidden="1" customWidth="1"/>
    <col min="8" max="8" width="48.140625" style="389" hidden="1" customWidth="1"/>
    <col min="9" max="9" width="0" style="227" hidden="1" customWidth="1"/>
    <col min="10" max="10" width="10.00390625" style="227" hidden="1" customWidth="1"/>
    <col min="11" max="11" width="10.140625" style="227" bestFit="1" customWidth="1"/>
    <col min="12" max="16384" width="9.140625" style="227" customWidth="1"/>
  </cols>
  <sheetData>
    <row r="1" spans="5:8" s="383" customFormat="1" ht="12.75">
      <c r="E1" s="384"/>
      <c r="H1" s="385"/>
    </row>
    <row r="2" spans="1:18" ht="15.75">
      <c r="A2" s="1285" t="s">
        <v>1185</v>
      </c>
      <c r="B2" s="1285"/>
      <c r="C2" s="1285"/>
      <c r="D2" s="1285"/>
      <c r="E2" s="1285"/>
      <c r="F2" s="1285"/>
      <c r="G2" s="225"/>
      <c r="H2" s="225"/>
      <c r="I2" s="225"/>
      <c r="J2" s="225"/>
      <c r="K2" s="225"/>
      <c r="L2" s="225"/>
      <c r="M2" s="225"/>
      <c r="N2" s="225"/>
      <c r="O2" s="225"/>
      <c r="Q2" s="386"/>
      <c r="R2" s="387"/>
    </row>
    <row r="3" spans="1:8" ht="15.75">
      <c r="A3" s="1285" t="s">
        <v>1180</v>
      </c>
      <c r="B3" s="1285"/>
      <c r="C3" s="1285"/>
      <c r="D3" s="1285"/>
      <c r="E3" s="1285"/>
      <c r="F3" s="1285"/>
      <c r="G3" s="388"/>
      <c r="H3" s="227"/>
    </row>
    <row r="4" spans="1:8" ht="15.75">
      <c r="A4" s="1262" t="s">
        <v>604</v>
      </c>
      <c r="B4" s="1285"/>
      <c r="C4" s="1285"/>
      <c r="D4" s="1285"/>
      <c r="E4" s="1285"/>
      <c r="F4" s="1285"/>
      <c r="G4" s="388"/>
      <c r="H4" s="227"/>
    </row>
    <row r="5" ht="13.5" thickBot="1">
      <c r="G5" s="388"/>
    </row>
    <row r="6" spans="1:8" ht="12.75">
      <c r="A6" s="390"/>
      <c r="B6" s="607" t="s">
        <v>1181</v>
      </c>
      <c r="C6" s="608" t="s">
        <v>1182</v>
      </c>
      <c r="D6" s="607" t="s">
        <v>1183</v>
      </c>
      <c r="E6" s="608" t="s">
        <v>1183</v>
      </c>
      <c r="F6" s="1327" t="s">
        <v>1247</v>
      </c>
      <c r="G6" s="388"/>
      <c r="H6" s="392"/>
    </row>
    <row r="7" spans="1:8" ht="12.75">
      <c r="A7" s="393"/>
      <c r="B7" s="609">
        <v>2008</v>
      </c>
      <c r="C7" s="610">
        <f>B7</f>
        <v>2008</v>
      </c>
      <c r="D7" s="609">
        <f>B7</f>
        <v>2008</v>
      </c>
      <c r="E7" s="610">
        <f>B7</f>
        <v>2008</v>
      </c>
      <c r="F7" s="1328"/>
      <c r="G7" s="388"/>
      <c r="H7" s="392"/>
    </row>
    <row r="8" spans="1:8" ht="13.5" thickBot="1">
      <c r="A8" s="404"/>
      <c r="B8" s="611" t="s">
        <v>1186</v>
      </c>
      <c r="C8" s="612" t="s">
        <v>1186</v>
      </c>
      <c r="D8" s="611" t="s">
        <v>1186</v>
      </c>
      <c r="E8" s="612" t="s">
        <v>1675</v>
      </c>
      <c r="F8" s="1329"/>
      <c r="G8" s="388"/>
      <c r="H8" s="392" t="s">
        <v>1105</v>
      </c>
    </row>
    <row r="9" spans="1:8" ht="12.75">
      <c r="A9" s="619" t="s">
        <v>980</v>
      </c>
      <c r="B9" s="613"/>
      <c r="C9" s="613"/>
      <c r="D9" s="626"/>
      <c r="E9" s="614"/>
      <c r="F9" s="616"/>
      <c r="G9" s="388"/>
      <c r="H9" s="394"/>
    </row>
    <row r="10" spans="1:8" ht="12.75">
      <c r="A10" s="619"/>
      <c r="B10" s="613"/>
      <c r="C10" s="613"/>
      <c r="D10" s="626"/>
      <c r="E10" s="614"/>
      <c r="F10" s="616"/>
      <c r="G10" s="388"/>
      <c r="H10" s="394"/>
    </row>
    <row r="11" spans="1:8" ht="12.75">
      <c r="A11" s="399" t="s">
        <v>980</v>
      </c>
      <c r="B11" s="255">
        <f>'GRAP APP B'!D15</f>
        <v>7050000</v>
      </c>
      <c r="C11" s="659">
        <v>10500000</v>
      </c>
      <c r="D11" s="627">
        <f>B11-C11</f>
        <v>-3450000</v>
      </c>
      <c r="E11" s="396">
        <v>0</v>
      </c>
      <c r="F11" s="616"/>
      <c r="G11" s="388"/>
      <c r="H11" s="392" t="s">
        <v>1108</v>
      </c>
    </row>
    <row r="12" spans="1:8" ht="12.75">
      <c r="A12" s="399" t="s">
        <v>988</v>
      </c>
      <c r="B12" s="255">
        <f>'GRAP APP B'!D13</f>
        <v>0</v>
      </c>
      <c r="C12" s="398">
        <v>0</v>
      </c>
      <c r="D12" s="627">
        <f>B12-C12</f>
        <v>0</v>
      </c>
      <c r="E12" s="991" t="s">
        <v>1587</v>
      </c>
      <c r="F12" s="616" t="s">
        <v>1248</v>
      </c>
      <c r="G12" s="388"/>
      <c r="H12" s="392" t="s">
        <v>1138</v>
      </c>
    </row>
    <row r="13" spans="1:8" ht="12.75">
      <c r="A13" s="399"/>
      <c r="B13" s="255"/>
      <c r="C13" s="395"/>
      <c r="D13" s="627"/>
      <c r="E13" s="396"/>
      <c r="F13" s="616"/>
      <c r="G13" s="388"/>
      <c r="H13" s="392"/>
    </row>
    <row r="14" spans="1:10" ht="13.5" thickBot="1">
      <c r="A14" s="620"/>
      <c r="B14" s="177">
        <f>SUM(B11:B13)</f>
        <v>7050000</v>
      </c>
      <c r="C14" s="177">
        <f>SUM(C11:C13)</f>
        <v>10500000</v>
      </c>
      <c r="D14" s="444">
        <f>SUM(D11:D13)</f>
        <v>-3450000</v>
      </c>
      <c r="E14" s="458"/>
      <c r="F14" s="616"/>
      <c r="G14" s="388"/>
      <c r="H14" s="392"/>
      <c r="J14" s="227">
        <f>'GRAP APP B'!K15</f>
        <v>0</v>
      </c>
    </row>
    <row r="15" spans="1:8" ht="13.5" thickTop="1">
      <c r="A15" s="399"/>
      <c r="B15" s="602"/>
      <c r="C15" s="395"/>
      <c r="D15" s="628"/>
      <c r="E15" s="397"/>
      <c r="F15" s="616"/>
      <c r="G15" s="388"/>
      <c r="H15" s="392"/>
    </row>
    <row r="16" spans="1:8" ht="12.75">
      <c r="A16" s="619" t="s">
        <v>1109</v>
      </c>
      <c r="B16" s="602"/>
      <c r="C16" s="395"/>
      <c r="D16" s="628"/>
      <c r="E16" s="397"/>
      <c r="F16" s="616"/>
      <c r="G16" s="388"/>
      <c r="H16" s="394"/>
    </row>
    <row r="17" spans="1:8" ht="12.75">
      <c r="A17" s="619"/>
      <c r="B17" s="602"/>
      <c r="C17" s="395"/>
      <c r="D17" s="628"/>
      <c r="E17" s="397"/>
      <c r="F17" s="616"/>
      <c r="G17" s="388"/>
      <c r="H17" s="394"/>
    </row>
    <row r="18" spans="1:8" ht="12.75" hidden="1">
      <c r="A18" s="932" t="s">
        <v>1110</v>
      </c>
      <c r="B18" s="602">
        <f>'GRAP APP B'!D19</f>
        <v>0</v>
      </c>
      <c r="C18" s="395">
        <v>0</v>
      </c>
      <c r="D18" s="628">
        <v>0</v>
      </c>
      <c r="E18" s="397"/>
      <c r="F18" s="616"/>
      <c r="G18" s="388"/>
      <c r="H18" s="394"/>
    </row>
    <row r="19" spans="1:8" ht="12.75">
      <c r="A19" s="399" t="s">
        <v>1111</v>
      </c>
      <c r="B19" s="255">
        <f>'GRAP APP B'!D26</f>
        <v>10017778</v>
      </c>
      <c r="C19" s="255">
        <f>21818202+3000000</f>
        <v>24818202</v>
      </c>
      <c r="D19" s="627">
        <f aca="true" t="shared" si="0" ref="D19:D26">B19-C19</f>
        <v>-14800424</v>
      </c>
      <c r="E19" s="615">
        <f>D19/C19</f>
        <v>-0.6</v>
      </c>
      <c r="F19" s="616" t="s">
        <v>1248</v>
      </c>
      <c r="G19" s="388"/>
      <c r="H19" s="392" t="s">
        <v>1112</v>
      </c>
    </row>
    <row r="20" spans="1:8" ht="12.75">
      <c r="A20" s="399" t="s">
        <v>981</v>
      </c>
      <c r="B20" s="255">
        <f>'GRAP APP B'!D28</f>
        <v>24919585</v>
      </c>
      <c r="C20" s="255">
        <v>28702757</v>
      </c>
      <c r="D20" s="627">
        <f t="shared" si="0"/>
        <v>-3783172</v>
      </c>
      <c r="E20" s="615">
        <f>D20/C20</f>
        <v>-0.13</v>
      </c>
      <c r="F20" s="616" t="s">
        <v>1248</v>
      </c>
      <c r="G20" s="388"/>
      <c r="H20" s="392" t="s">
        <v>1113</v>
      </c>
    </row>
    <row r="21" spans="1:11" ht="12.75">
      <c r="A21" s="399" t="s">
        <v>1114</v>
      </c>
      <c r="B21" s="255">
        <f>'GRAP APP B'!D21</f>
        <v>5182256</v>
      </c>
      <c r="C21" s="255">
        <v>14011282</v>
      </c>
      <c r="D21" s="627">
        <f t="shared" si="0"/>
        <v>-8829026</v>
      </c>
      <c r="E21" s="615">
        <f>D21/C21</f>
        <v>-0.63</v>
      </c>
      <c r="F21" s="616" t="s">
        <v>1248</v>
      </c>
      <c r="G21" s="388"/>
      <c r="H21" s="392" t="s">
        <v>1115</v>
      </c>
      <c r="K21" s="152" t="s">
        <v>1587</v>
      </c>
    </row>
    <row r="22" spans="1:8" ht="12.75">
      <c r="A22" s="932" t="s">
        <v>778</v>
      </c>
      <c r="B22" s="255">
        <f>'GRAP APP B'!D22</f>
        <v>0</v>
      </c>
      <c r="C22" s="255">
        <v>1000000</v>
      </c>
      <c r="D22" s="627"/>
      <c r="E22" s="615"/>
      <c r="F22" s="616"/>
      <c r="G22" s="388"/>
      <c r="H22" s="392"/>
    </row>
    <row r="23" spans="1:11" ht="12.75">
      <c r="A23" s="399" t="s">
        <v>982</v>
      </c>
      <c r="B23" s="255">
        <f>'GRAP APP B'!D29</f>
        <v>26275634</v>
      </c>
      <c r="C23" s="255">
        <v>28305153</v>
      </c>
      <c r="D23" s="627">
        <f t="shared" si="0"/>
        <v>-2029519</v>
      </c>
      <c r="E23" s="615">
        <f>D23/C23</f>
        <v>-0.07</v>
      </c>
      <c r="F23" s="616" t="s">
        <v>1250</v>
      </c>
      <c r="G23" s="388"/>
      <c r="H23" s="392" t="s">
        <v>1116</v>
      </c>
      <c r="K23" s="152" t="s">
        <v>1587</v>
      </c>
    </row>
    <row r="24" spans="1:11" ht="12.75">
      <c r="A24" s="399" t="s">
        <v>1117</v>
      </c>
      <c r="B24" s="255">
        <f>'GRAP APP B'!D25</f>
        <v>0</v>
      </c>
      <c r="C24" s="255">
        <v>16543077</v>
      </c>
      <c r="D24" s="627">
        <f t="shared" si="0"/>
        <v>-16543077</v>
      </c>
      <c r="E24" s="615">
        <f>D24/C24</f>
        <v>-1</v>
      </c>
      <c r="F24" s="616" t="s">
        <v>255</v>
      </c>
      <c r="G24" s="388"/>
      <c r="H24" s="392" t="s">
        <v>1118</v>
      </c>
      <c r="K24" s="152" t="s">
        <v>1587</v>
      </c>
    </row>
    <row r="25" spans="1:8" ht="12.75" customHeight="1">
      <c r="A25" s="399" t="s">
        <v>1119</v>
      </c>
      <c r="B25" s="255">
        <f>'GRAP APP B'!D30</f>
        <v>14011773</v>
      </c>
      <c r="C25" s="255">
        <v>9093333</v>
      </c>
      <c r="D25" s="627">
        <f t="shared" si="0"/>
        <v>4918440</v>
      </c>
      <c r="E25" s="615">
        <f>D25/C25</f>
        <v>0.54</v>
      </c>
      <c r="F25" s="616" t="s">
        <v>1248</v>
      </c>
      <c r="G25" s="388"/>
      <c r="H25" s="392" t="s">
        <v>1120</v>
      </c>
    </row>
    <row r="26" spans="1:8" ht="12.75">
      <c r="A26" s="399" t="s">
        <v>983</v>
      </c>
      <c r="B26" s="255">
        <f>'GRAP APP B'!D27</f>
        <v>8886</v>
      </c>
      <c r="C26" s="255">
        <v>666649</v>
      </c>
      <c r="D26" s="627">
        <f t="shared" si="0"/>
        <v>-657763</v>
      </c>
      <c r="E26" s="615">
        <f>D26/C26</f>
        <v>-0.99</v>
      </c>
      <c r="F26" s="616" t="s">
        <v>1248</v>
      </c>
      <c r="G26" s="388"/>
      <c r="H26" s="392" t="s">
        <v>1123</v>
      </c>
    </row>
    <row r="27" spans="1:8" ht="12.75">
      <c r="A27" s="399"/>
      <c r="B27" s="255"/>
      <c r="C27" s="255"/>
      <c r="D27" s="627"/>
      <c r="E27" s="615"/>
      <c r="F27" s="616"/>
      <c r="G27" s="388"/>
      <c r="H27" s="392"/>
    </row>
    <row r="28" spans="1:10" ht="13.5" thickBot="1">
      <c r="A28" s="620"/>
      <c r="B28" s="177">
        <f>SUM(B18:B27)</f>
        <v>80415912</v>
      </c>
      <c r="C28" s="177">
        <f>SUM(C18:C26)</f>
        <v>123140453</v>
      </c>
      <c r="D28" s="629">
        <f>SUM(D19:D26)</f>
        <v>-41724541</v>
      </c>
      <c r="E28" s="615"/>
      <c r="F28" s="616"/>
      <c r="G28" s="388"/>
      <c r="H28" s="392"/>
      <c r="J28" s="227">
        <f>'GRAP APP B'!K32</f>
        <v>5733829</v>
      </c>
    </row>
    <row r="29" spans="1:8" ht="13.5" thickTop="1">
      <c r="A29" s="399"/>
      <c r="B29" s="255"/>
      <c r="C29" s="398"/>
      <c r="D29" s="627"/>
      <c r="E29" s="615"/>
      <c r="F29" s="616"/>
      <c r="G29" s="388"/>
      <c r="H29" s="394"/>
    </row>
    <row r="30" spans="1:8" ht="12.75">
      <c r="A30" s="619" t="s">
        <v>1124</v>
      </c>
      <c r="B30" s="255"/>
      <c r="C30" s="398"/>
      <c r="D30" s="627"/>
      <c r="E30" s="615"/>
      <c r="F30" s="616"/>
      <c r="G30" s="388"/>
      <c r="H30" s="394"/>
    </row>
    <row r="31" spans="1:8" ht="12.75">
      <c r="A31" s="619"/>
      <c r="B31" s="255"/>
      <c r="C31" s="398"/>
      <c r="D31" s="627"/>
      <c r="E31" s="615"/>
      <c r="F31" s="616"/>
      <c r="G31" s="388"/>
      <c r="H31" s="394"/>
    </row>
    <row r="32" spans="1:8" ht="12.75" customHeight="1">
      <c r="A32" s="399" t="s">
        <v>984</v>
      </c>
      <c r="B32" s="255">
        <f>'GRAP APP B'!D36</f>
        <v>884413</v>
      </c>
      <c r="C32" s="398">
        <v>1350089</v>
      </c>
      <c r="D32" s="627">
        <f aca="true" t="shared" si="1" ref="D32:D37">B32-C32</f>
        <v>-465676</v>
      </c>
      <c r="E32" s="615">
        <f>D32/C32</f>
        <v>-0.34</v>
      </c>
      <c r="F32" s="616" t="s">
        <v>1248</v>
      </c>
      <c r="G32" s="388"/>
      <c r="H32" s="392" t="s">
        <v>1125</v>
      </c>
    </row>
    <row r="33" spans="1:11" ht="12.75" customHeight="1">
      <c r="A33" s="399" t="s">
        <v>1126</v>
      </c>
      <c r="B33" s="255">
        <f>'GRAP APP B'!D37</f>
        <v>0</v>
      </c>
      <c r="C33" s="398">
        <v>395000</v>
      </c>
      <c r="D33" s="627">
        <f t="shared" si="1"/>
        <v>-395000</v>
      </c>
      <c r="E33" s="615">
        <f>D33/C33</f>
        <v>-1</v>
      </c>
      <c r="F33" s="616" t="s">
        <v>1248</v>
      </c>
      <c r="G33" s="388"/>
      <c r="H33" s="392" t="s">
        <v>1127</v>
      </c>
      <c r="K33" s="400" t="s">
        <v>1587</v>
      </c>
    </row>
    <row r="34" spans="1:11" ht="12.75" customHeight="1">
      <c r="A34" s="399" t="s">
        <v>985</v>
      </c>
      <c r="B34" s="255">
        <f>'GRAP APP B'!D38</f>
        <v>2792707</v>
      </c>
      <c r="C34" s="398">
        <v>5693874</v>
      </c>
      <c r="D34" s="627">
        <f t="shared" si="1"/>
        <v>-2901167</v>
      </c>
      <c r="E34" s="615">
        <f>D34/C34</f>
        <v>-0.51</v>
      </c>
      <c r="F34" s="616" t="s">
        <v>1248</v>
      </c>
      <c r="G34" s="388"/>
      <c r="H34" s="392" t="s">
        <v>1128</v>
      </c>
      <c r="K34" s="401" t="s">
        <v>1587</v>
      </c>
    </row>
    <row r="35" spans="1:11" ht="12.75" customHeight="1">
      <c r="A35" s="399" t="s">
        <v>986</v>
      </c>
      <c r="B35" s="255">
        <f>'GRAP APP B'!D39</f>
        <v>4094563</v>
      </c>
      <c r="C35" s="398">
        <v>5051359</v>
      </c>
      <c r="D35" s="627">
        <f t="shared" si="1"/>
        <v>-956796</v>
      </c>
      <c r="E35" s="615">
        <v>1</v>
      </c>
      <c r="F35" s="616" t="s">
        <v>1249</v>
      </c>
      <c r="G35" s="388"/>
      <c r="H35" s="392" t="s">
        <v>1129</v>
      </c>
      <c r="K35" s="400" t="s">
        <v>1587</v>
      </c>
    </row>
    <row r="36" spans="1:11" ht="12.75" customHeight="1">
      <c r="A36" s="932" t="s">
        <v>1130</v>
      </c>
      <c r="B36" s="255">
        <f>'GRAP APP B'!D40</f>
        <v>0</v>
      </c>
      <c r="C36" s="398">
        <v>3500000</v>
      </c>
      <c r="D36" s="627">
        <f t="shared" si="1"/>
        <v>-3500000</v>
      </c>
      <c r="E36" s="615"/>
      <c r="F36" s="616"/>
      <c r="G36" s="388"/>
      <c r="H36" s="392"/>
      <c r="K36" s="400"/>
    </row>
    <row r="37" spans="1:8" ht="11.25" customHeight="1">
      <c r="A37" s="399" t="s">
        <v>1131</v>
      </c>
      <c r="B37" s="255">
        <f>'GRAP APP B'!D41</f>
        <v>1730766</v>
      </c>
      <c r="C37" s="398">
        <v>2450248</v>
      </c>
      <c r="D37" s="627">
        <f t="shared" si="1"/>
        <v>-719482</v>
      </c>
      <c r="E37" s="615">
        <f>D37/C37</f>
        <v>-0.29</v>
      </c>
      <c r="F37" s="616" t="s">
        <v>1248</v>
      </c>
      <c r="G37" s="388"/>
      <c r="H37" s="392" t="s">
        <v>1132</v>
      </c>
    </row>
    <row r="38" spans="1:10" ht="12.75" customHeight="1">
      <c r="A38" s="620"/>
      <c r="B38" s="398"/>
      <c r="C38" s="398"/>
      <c r="D38" s="627"/>
      <c r="E38" s="615"/>
      <c r="F38" s="616"/>
      <c r="G38" s="388"/>
      <c r="H38" s="392"/>
      <c r="J38" s="227">
        <f>'GRAP APP B'!K45</f>
        <v>29375</v>
      </c>
    </row>
    <row r="39" spans="1:8" ht="12.75" customHeight="1" thickBot="1">
      <c r="A39" s="399"/>
      <c r="B39" s="177">
        <f>SUM(B32:B38)</f>
        <v>9502449</v>
      </c>
      <c r="C39" s="618">
        <f>SUM(C32:C38)</f>
        <v>18440570</v>
      </c>
      <c r="D39" s="629">
        <f>SUM(D32:D38)</f>
        <v>-8938121</v>
      </c>
      <c r="E39" s="615"/>
      <c r="F39" s="616"/>
      <c r="G39" s="388"/>
      <c r="H39" s="392"/>
    </row>
    <row r="40" spans="1:8" ht="12.75" customHeight="1" thickTop="1">
      <c r="A40" s="399"/>
      <c r="B40" s="255"/>
      <c r="C40" s="398"/>
      <c r="D40" s="627"/>
      <c r="E40" s="615"/>
      <c r="F40" s="616"/>
      <c r="G40" s="388"/>
      <c r="H40" s="392"/>
    </row>
    <row r="41" spans="1:8" ht="12.75">
      <c r="A41" s="619" t="s">
        <v>987</v>
      </c>
      <c r="B41" s="398"/>
      <c r="C41" s="398"/>
      <c r="D41" s="627"/>
      <c r="E41" s="615"/>
      <c r="F41" s="616"/>
      <c r="G41" s="388"/>
      <c r="H41" s="394"/>
    </row>
    <row r="42" spans="1:8" ht="12.75">
      <c r="A42" s="619"/>
      <c r="B42" s="398"/>
      <c r="C42" s="398"/>
      <c r="D42" s="627"/>
      <c r="E42" s="615"/>
      <c r="F42" s="616"/>
      <c r="G42" s="388"/>
      <c r="H42" s="394"/>
    </row>
    <row r="43" spans="1:8" ht="12.75">
      <c r="A43" s="399" t="s">
        <v>1134</v>
      </c>
      <c r="B43" s="255">
        <f>'GRAP APP B'!D49</f>
        <v>0</v>
      </c>
      <c r="C43" s="402">
        <v>0</v>
      </c>
      <c r="D43" s="627">
        <f>B43-C43</f>
        <v>0</v>
      </c>
      <c r="E43" s="991" t="s">
        <v>1587</v>
      </c>
      <c r="F43" s="616" t="s">
        <v>1248</v>
      </c>
      <c r="G43" s="388"/>
      <c r="H43" s="392" t="s">
        <v>1135</v>
      </c>
    </row>
    <row r="44" spans="1:8" ht="1.5" customHeight="1" hidden="1">
      <c r="A44" s="399" t="s">
        <v>1136</v>
      </c>
      <c r="B44" s="398">
        <v>0</v>
      </c>
      <c r="C44" s="398">
        <v>0</v>
      </c>
      <c r="D44" s="627">
        <v>0</v>
      </c>
      <c r="E44" s="615" t="e">
        <f>D44/C44</f>
        <v>#DIV/0!</v>
      </c>
      <c r="F44" s="616"/>
      <c r="G44" s="388"/>
      <c r="H44" s="392" t="s">
        <v>1137</v>
      </c>
    </row>
    <row r="45" spans="1:8" ht="12.75">
      <c r="A45" s="620"/>
      <c r="B45" s="398"/>
      <c r="C45" s="398"/>
      <c r="D45" s="627"/>
      <c r="E45" s="615"/>
      <c r="F45" s="616"/>
      <c r="G45" s="388"/>
      <c r="H45" s="392"/>
    </row>
    <row r="46" spans="1:10" ht="13.5" thickBot="1">
      <c r="A46" s="399"/>
      <c r="B46" s="177">
        <f>SUM(B44:B45)</f>
        <v>0</v>
      </c>
      <c r="C46" s="618">
        <f>SUM(C43:C45)</f>
        <v>0</v>
      </c>
      <c r="D46" s="629">
        <f>D43</f>
        <v>0</v>
      </c>
      <c r="E46" s="615"/>
      <c r="F46" s="616"/>
      <c r="G46" s="388"/>
      <c r="H46" s="392"/>
      <c r="J46" s="227">
        <f>'GRAP APP B'!K52</f>
        <v>0</v>
      </c>
    </row>
    <row r="47" spans="1:8" ht="13.5" thickTop="1">
      <c r="A47" s="399"/>
      <c r="B47" s="255"/>
      <c r="C47" s="398"/>
      <c r="D47" s="627"/>
      <c r="E47" s="615"/>
      <c r="F47" s="616"/>
      <c r="G47" s="388"/>
      <c r="H47" s="392"/>
    </row>
    <row r="48" spans="1:8" ht="12.75">
      <c r="A48" s="619" t="s">
        <v>989</v>
      </c>
      <c r="B48" s="398"/>
      <c r="C48" s="398"/>
      <c r="D48" s="627"/>
      <c r="E48" s="615"/>
      <c r="F48" s="616"/>
      <c r="G48" s="388"/>
      <c r="H48" s="394"/>
    </row>
    <row r="49" spans="1:8" ht="12.75">
      <c r="A49" s="619"/>
      <c r="B49" s="398"/>
      <c r="C49" s="398"/>
      <c r="D49" s="627"/>
      <c r="E49" s="615"/>
      <c r="F49" s="616"/>
      <c r="G49" s="388"/>
      <c r="H49" s="394"/>
    </row>
    <row r="50" spans="1:8" ht="12.75">
      <c r="A50" s="399" t="s">
        <v>1139</v>
      </c>
      <c r="B50" s="255">
        <f>'GRAP APP B'!D56</f>
        <v>1624260</v>
      </c>
      <c r="C50" s="398">
        <v>1552709</v>
      </c>
      <c r="D50" s="627">
        <f aca="true" t="shared" si="2" ref="D50:D59">B50-C50</f>
        <v>71551</v>
      </c>
      <c r="E50" s="615">
        <f>D50/C50</f>
        <v>0.05</v>
      </c>
      <c r="F50" s="616" t="s">
        <v>1248</v>
      </c>
      <c r="G50" s="388"/>
      <c r="H50" s="392" t="s">
        <v>1140</v>
      </c>
    </row>
    <row r="51" spans="1:8" ht="12.75">
      <c r="A51" s="399" t="s">
        <v>977</v>
      </c>
      <c r="B51" s="255">
        <f>'GRAP APP B'!D57</f>
        <v>614787</v>
      </c>
      <c r="C51" s="398">
        <v>783576</v>
      </c>
      <c r="D51" s="627">
        <f t="shared" si="2"/>
        <v>-168789</v>
      </c>
      <c r="E51" s="615">
        <f>D51/C51</f>
        <v>-0.22</v>
      </c>
      <c r="F51" s="616" t="s">
        <v>1064</v>
      </c>
      <c r="G51" s="388"/>
      <c r="H51" s="392" t="s">
        <v>1141</v>
      </c>
    </row>
    <row r="52" spans="1:8" ht="11.25" customHeight="1">
      <c r="A52" s="399" t="s">
        <v>978</v>
      </c>
      <c r="B52" s="255">
        <f>'GRAP APP B'!D58</f>
        <v>180926</v>
      </c>
      <c r="C52" s="398">
        <v>712973</v>
      </c>
      <c r="D52" s="627">
        <f t="shared" si="2"/>
        <v>-532047</v>
      </c>
      <c r="E52" s="615">
        <f>D52/C52</f>
        <v>-0.75</v>
      </c>
      <c r="F52" s="616" t="s">
        <v>1064</v>
      </c>
      <c r="G52" s="388"/>
      <c r="H52" s="389" t="s">
        <v>1142</v>
      </c>
    </row>
    <row r="53" spans="1:8" ht="12.75" hidden="1">
      <c r="A53" s="399" t="s">
        <v>1143</v>
      </c>
      <c r="B53" s="157" t="s">
        <v>1587</v>
      </c>
      <c r="C53" s="398">
        <f>'GRAP APP B'!C59</f>
        <v>0</v>
      </c>
      <c r="D53" s="990" t="s">
        <v>1587</v>
      </c>
      <c r="E53" s="991" t="s">
        <v>1587</v>
      </c>
      <c r="F53" s="616"/>
      <c r="G53" s="388"/>
      <c r="H53" s="392" t="s">
        <v>1144</v>
      </c>
    </row>
    <row r="54" spans="1:8" ht="12.75" hidden="1">
      <c r="A54" s="399" t="s">
        <v>1145</v>
      </c>
      <c r="B54" s="157" t="s">
        <v>1587</v>
      </c>
      <c r="C54" s="398">
        <f>'GRAP APP B'!C60</f>
        <v>0</v>
      </c>
      <c r="D54" s="990" t="s">
        <v>1587</v>
      </c>
      <c r="E54" s="991" t="s">
        <v>1587</v>
      </c>
      <c r="F54" s="616"/>
      <c r="G54" s="388"/>
      <c r="H54" s="392" t="s">
        <v>1184</v>
      </c>
    </row>
    <row r="55" spans="1:8" ht="12.75" hidden="1">
      <c r="A55" s="399" t="s">
        <v>1146</v>
      </c>
      <c r="B55" s="157" t="s">
        <v>1587</v>
      </c>
      <c r="C55" s="398">
        <f>'GRAP APP B'!C62</f>
        <v>0</v>
      </c>
      <c r="D55" s="990" t="s">
        <v>1587</v>
      </c>
      <c r="E55" s="615" t="e">
        <f>D55/C55</f>
        <v>#VALUE!</v>
      </c>
      <c r="F55" s="616"/>
      <c r="G55" s="388"/>
      <c r="H55" s="392" t="s">
        <v>1147</v>
      </c>
    </row>
    <row r="56" spans="1:8" ht="12.75" hidden="1">
      <c r="A56" s="399" t="s">
        <v>1148</v>
      </c>
      <c r="B56" s="157" t="s">
        <v>1587</v>
      </c>
      <c r="C56" s="398">
        <f>'GRAP APP B'!C63</f>
        <v>0</v>
      </c>
      <c r="D56" s="990" t="s">
        <v>1587</v>
      </c>
      <c r="E56" s="615" t="e">
        <f>D56/C56</f>
        <v>#VALUE!</v>
      </c>
      <c r="F56" s="616"/>
      <c r="G56" s="388"/>
      <c r="H56" s="392" t="s">
        <v>1149</v>
      </c>
    </row>
    <row r="57" spans="1:8" ht="12.75">
      <c r="A57" s="399" t="s">
        <v>1150</v>
      </c>
      <c r="B57" s="255">
        <f>'GRAP APP B'!D64</f>
        <v>818038</v>
      </c>
      <c r="C57" s="398">
        <v>1434373</v>
      </c>
      <c r="D57" s="627">
        <f t="shared" si="2"/>
        <v>-616335</v>
      </c>
      <c r="E57" s="615">
        <f>D57/C57</f>
        <v>-0.43</v>
      </c>
      <c r="F57" s="616" t="s">
        <v>1064</v>
      </c>
      <c r="G57" s="388"/>
      <c r="H57" s="392" t="s">
        <v>1151</v>
      </c>
    </row>
    <row r="58" spans="1:8" ht="12.75">
      <c r="A58" s="217" t="s">
        <v>979</v>
      </c>
      <c r="B58" s="255">
        <f>'GRAP APP B'!D65</f>
        <v>948018</v>
      </c>
      <c r="C58" s="398">
        <f>1234037-8234</f>
        <v>1225803</v>
      </c>
      <c r="D58" s="627">
        <f t="shared" si="2"/>
        <v>-277785</v>
      </c>
      <c r="E58" s="615">
        <f>D58/C58</f>
        <v>-0.23</v>
      </c>
      <c r="F58" s="616" t="s">
        <v>254</v>
      </c>
      <c r="G58" s="388"/>
      <c r="H58" s="403" t="s">
        <v>1152</v>
      </c>
    </row>
    <row r="59" spans="1:8" ht="12.75">
      <c r="A59" s="217" t="s">
        <v>1153</v>
      </c>
      <c r="B59" s="255">
        <f>'GRAP APP B'!D66</f>
        <v>0</v>
      </c>
      <c r="C59" s="398">
        <v>446414</v>
      </c>
      <c r="D59" s="627">
        <f t="shared" si="2"/>
        <v>-446414</v>
      </c>
      <c r="E59" s="615">
        <f>D59/C59</f>
        <v>-1</v>
      </c>
      <c r="F59" s="616" t="s">
        <v>1248</v>
      </c>
      <c r="H59" s="392" t="s">
        <v>1154</v>
      </c>
    </row>
    <row r="60" spans="1:8" ht="12.75">
      <c r="A60" s="620"/>
      <c r="B60" s="398"/>
      <c r="C60" s="398"/>
      <c r="D60" s="627"/>
      <c r="E60" s="617"/>
      <c r="F60" s="616"/>
      <c r="G60" s="388"/>
      <c r="H60" s="392"/>
    </row>
    <row r="61" spans="1:8" ht="13.5" thickBot="1">
      <c r="A61" s="399"/>
      <c r="B61" s="177">
        <f>SUM(B50:B59)</f>
        <v>4186029</v>
      </c>
      <c r="C61" s="177">
        <f>SUM(C50:C60)</f>
        <v>6155848</v>
      </c>
      <c r="D61" s="444">
        <f>SUM(D50:D60)</f>
        <v>-1969819</v>
      </c>
      <c r="E61" s="617"/>
      <c r="F61" s="616"/>
      <c r="G61" s="388"/>
      <c r="H61" s="392"/>
    </row>
    <row r="62" spans="1:10" ht="14.25" thickBot="1" thickTop="1">
      <c r="A62" s="620"/>
      <c r="B62" s="398"/>
      <c r="C62" s="398"/>
      <c r="D62" s="627"/>
      <c r="E62" s="617"/>
      <c r="F62" s="616"/>
      <c r="J62" s="227">
        <f>'GRAP APP B'!K68</f>
        <v>3464735</v>
      </c>
    </row>
    <row r="63" spans="1:6" ht="14.25" thickBot="1" thickTop="1">
      <c r="A63" s="621" t="s">
        <v>1178</v>
      </c>
      <c r="B63" s="623">
        <f>B14+B28+B39+B46+B61</f>
        <v>101154390</v>
      </c>
      <c r="C63" s="623">
        <f>C14+C28+C39+C46+C61</f>
        <v>158236871</v>
      </c>
      <c r="D63" s="625">
        <f>D14+D28+D39+D46+D61</f>
        <v>-56082481</v>
      </c>
      <c r="E63" s="617"/>
      <c r="F63" s="616"/>
    </row>
    <row r="64" spans="1:11" ht="14.25" thickBot="1" thickTop="1">
      <c r="A64" s="622"/>
      <c r="B64" s="630"/>
      <c r="C64" s="630"/>
      <c r="D64" s="631"/>
      <c r="E64" s="632"/>
      <c r="F64" s="624"/>
      <c r="J64" s="227">
        <f>'GRAP APP B'!K70</f>
        <v>9227939</v>
      </c>
      <c r="K64" s="152" t="s">
        <v>1587</v>
      </c>
    </row>
    <row r="65" spans="1:11" ht="12.75">
      <c r="A65" s="388"/>
      <c r="B65" s="388"/>
      <c r="C65" s="388" t="s">
        <v>1587</v>
      </c>
      <c r="D65" s="388"/>
      <c r="E65" s="405"/>
      <c r="F65" s="388"/>
      <c r="K65" s="401" t="s">
        <v>1587</v>
      </c>
    </row>
    <row r="66" spans="1:3" ht="12.75">
      <c r="A66" s="388"/>
      <c r="C66" s="1224" t="s">
        <v>152</v>
      </c>
    </row>
    <row r="67" ht="12.75">
      <c r="A67" s="388"/>
    </row>
  </sheetData>
  <sheetProtection/>
  <mergeCells count="4">
    <mergeCell ref="A2:F2"/>
    <mergeCell ref="A3:F3"/>
    <mergeCell ref="A4:F4"/>
    <mergeCell ref="F6:F8"/>
  </mergeCells>
  <printOptions horizontalCentered="1"/>
  <pageMargins left="0.3937007874015748" right="0.7480314960629921" top="0.4330708661417323" bottom="0.3937007874015748" header="0.5118110236220472" footer="0.2755905511811024"/>
  <pageSetup fitToHeight="1" fitToWidth="1" horizontalDpi="600" verticalDpi="600" orientation="landscape" paperSize="9" scale="70" r:id="rId1"/>
  <headerFooter alignWithMargins="0">
    <oddFooter>&amp;C- 37 -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N10" sqref="N10"/>
    </sheetView>
  </sheetViews>
  <sheetFormatPr defaultColWidth="9.140625" defaultRowHeight="12.75"/>
  <cols>
    <col min="1" max="1" width="12.8515625" style="658" customWidth="1"/>
    <col min="2" max="2" width="15.7109375" style="658" customWidth="1"/>
    <col min="3" max="4" width="11.28125" style="634" bestFit="1" customWidth="1"/>
    <col min="5" max="5" width="14.8515625" style="634" bestFit="1" customWidth="1"/>
    <col min="6" max="6" width="14.140625" style="634" bestFit="1" customWidth="1"/>
    <col min="7" max="9" width="11.28125" style="634" bestFit="1" customWidth="1"/>
    <col min="10" max="10" width="14.8515625" style="634" bestFit="1" customWidth="1"/>
    <col min="11" max="11" width="14.140625" style="634" bestFit="1" customWidth="1"/>
    <col min="12" max="12" width="11.28125" style="634" bestFit="1" customWidth="1"/>
    <col min="13" max="13" width="9.140625" style="634" customWidth="1"/>
    <col min="14" max="16384" width="9.140625" style="152" customWidth="1"/>
  </cols>
  <sheetData>
    <row r="1" spans="1:12" ht="12.75">
      <c r="A1" s="1258" t="s">
        <v>1185</v>
      </c>
      <c r="B1" s="1258"/>
      <c r="C1" s="1258"/>
      <c r="D1" s="1258"/>
      <c r="E1" s="1258"/>
      <c r="F1" s="1258"/>
      <c r="G1" s="1258"/>
      <c r="H1" s="1258"/>
      <c r="I1" s="1258"/>
      <c r="J1" s="1258"/>
      <c r="K1" s="1258"/>
      <c r="L1" s="1258"/>
    </row>
    <row r="2" spans="1:12" ht="12.75">
      <c r="A2" s="1258" t="s">
        <v>1085</v>
      </c>
      <c r="B2" s="1258"/>
      <c r="C2" s="1258"/>
      <c r="D2" s="1258"/>
      <c r="E2" s="1258"/>
      <c r="F2" s="1258"/>
      <c r="G2" s="1258"/>
      <c r="H2" s="1258"/>
      <c r="I2" s="1258"/>
      <c r="J2" s="1258"/>
      <c r="K2" s="1258"/>
      <c r="L2" s="1258"/>
    </row>
    <row r="3" spans="1:12" ht="12.75">
      <c r="A3" s="309"/>
      <c r="B3" s="309"/>
      <c r="C3" s="272"/>
      <c r="D3" s="272"/>
      <c r="E3" s="272"/>
      <c r="F3" s="272"/>
      <c r="G3" s="272"/>
      <c r="H3" s="272"/>
      <c r="I3" s="272"/>
      <c r="J3" s="272"/>
      <c r="K3" s="272"/>
      <c r="L3" s="272"/>
    </row>
    <row r="4" spans="1:12" ht="12.75">
      <c r="A4" s="1258" t="s">
        <v>1086</v>
      </c>
      <c r="B4" s="1258"/>
      <c r="C4" s="1258"/>
      <c r="D4" s="1258"/>
      <c r="E4" s="1258"/>
      <c r="F4" s="1258"/>
      <c r="G4" s="1258"/>
      <c r="H4" s="1258"/>
      <c r="I4" s="1258"/>
      <c r="J4" s="1258"/>
      <c r="K4" s="1258"/>
      <c r="L4" s="1258"/>
    </row>
    <row r="5" spans="1:12" ht="12.75">
      <c r="A5" s="1258" t="s">
        <v>605</v>
      </c>
      <c r="B5" s="1258"/>
      <c r="C5" s="1258"/>
      <c r="D5" s="1258"/>
      <c r="E5" s="1258"/>
      <c r="F5" s="1258"/>
      <c r="G5" s="1258"/>
      <c r="H5" s="1258"/>
      <c r="I5" s="1258"/>
      <c r="J5" s="1258"/>
      <c r="K5" s="1258"/>
      <c r="L5" s="1258"/>
    </row>
    <row r="6" spans="1:12" ht="13.5" thickBot="1">
      <c r="A6" s="309"/>
      <c r="B6" s="309"/>
      <c r="C6" s="272"/>
      <c r="D6" s="272"/>
      <c r="E6" s="272"/>
      <c r="F6" s="272"/>
      <c r="G6" s="272"/>
      <c r="H6" s="272"/>
      <c r="I6" s="272"/>
      <c r="J6" s="272"/>
      <c r="K6" s="272"/>
      <c r="L6" s="272"/>
    </row>
    <row r="7" spans="1:12" ht="39" thickBot="1">
      <c r="A7" s="635" t="s">
        <v>1087</v>
      </c>
      <c r="B7" s="636" t="s">
        <v>1088</v>
      </c>
      <c r="C7" s="1330" t="s">
        <v>398</v>
      </c>
      <c r="D7" s="1330"/>
      <c r="E7" s="1330"/>
      <c r="F7" s="1330"/>
      <c r="G7" s="1330"/>
      <c r="H7" s="1330" t="s">
        <v>397</v>
      </c>
      <c r="I7" s="1330"/>
      <c r="J7" s="1330"/>
      <c r="K7" s="1330"/>
      <c r="L7" s="1331"/>
    </row>
    <row r="8" spans="1:13" s="639" customFormat="1" ht="26.25" thickBot="1">
      <c r="A8" s="635"/>
      <c r="B8" s="636"/>
      <c r="C8" s="637" t="s">
        <v>396</v>
      </c>
      <c r="D8" s="637" t="s">
        <v>689</v>
      </c>
      <c r="E8" s="637" t="s">
        <v>690</v>
      </c>
      <c r="F8" s="637" t="s">
        <v>691</v>
      </c>
      <c r="G8" s="637" t="s">
        <v>692</v>
      </c>
      <c r="H8" s="637" t="s">
        <v>396</v>
      </c>
      <c r="I8" s="637" t="s">
        <v>689</v>
      </c>
      <c r="J8" s="637" t="s">
        <v>690</v>
      </c>
      <c r="K8" s="637" t="s">
        <v>691</v>
      </c>
      <c r="L8" s="997" t="s">
        <v>692</v>
      </c>
      <c r="M8" s="638"/>
    </row>
    <row r="9" spans="1:13" s="644" customFormat="1" ht="25.5">
      <c r="A9" s="640" t="s">
        <v>693</v>
      </c>
      <c r="B9" s="641" t="s">
        <v>694</v>
      </c>
      <c r="C9" s="642">
        <v>0</v>
      </c>
      <c r="D9" s="642">
        <v>0</v>
      </c>
      <c r="E9" s="642">
        <v>0</v>
      </c>
      <c r="F9" s="642">
        <v>3000000</v>
      </c>
      <c r="G9" s="642">
        <v>0</v>
      </c>
      <c r="H9" s="642">
        <v>0</v>
      </c>
      <c r="I9" s="642">
        <v>0</v>
      </c>
      <c r="J9" s="994">
        <v>0</v>
      </c>
      <c r="K9" s="996">
        <v>0</v>
      </c>
      <c r="L9" s="993">
        <v>0</v>
      </c>
      <c r="M9" s="643"/>
    </row>
    <row r="10" spans="1:13" s="644" customFormat="1" ht="25.5">
      <c r="A10" s="645" t="s">
        <v>695</v>
      </c>
      <c r="B10" s="646" t="s">
        <v>696</v>
      </c>
      <c r="C10" s="642">
        <v>1700000</v>
      </c>
      <c r="D10" s="642">
        <v>0</v>
      </c>
      <c r="E10" s="642">
        <v>0</v>
      </c>
      <c r="F10" s="642">
        <v>0</v>
      </c>
      <c r="G10" s="642">
        <v>0</v>
      </c>
      <c r="H10" s="642">
        <v>0</v>
      </c>
      <c r="I10" s="642">
        <v>80145</v>
      </c>
      <c r="J10" s="994">
        <v>366938</v>
      </c>
      <c r="K10" s="642">
        <v>623565</v>
      </c>
      <c r="L10" s="993">
        <v>574747</v>
      </c>
      <c r="M10" s="643"/>
    </row>
    <row r="11" spans="1:13" s="644" customFormat="1" ht="51">
      <c r="A11" s="645" t="s">
        <v>400</v>
      </c>
      <c r="B11" s="646" t="s">
        <v>1065</v>
      </c>
      <c r="C11" s="642">
        <v>4197000</v>
      </c>
      <c r="D11" s="642">
        <v>400000</v>
      </c>
      <c r="E11" s="642">
        <v>2761000</v>
      </c>
      <c r="F11" s="642">
        <v>0</v>
      </c>
      <c r="G11" s="994">
        <v>479000</v>
      </c>
      <c r="H11" s="642">
        <v>719176</v>
      </c>
      <c r="I11" s="992">
        <v>1051261</v>
      </c>
      <c r="J11" s="995">
        <v>487169</v>
      </c>
      <c r="K11" s="642">
        <v>1327890</v>
      </c>
      <c r="L11" s="993">
        <v>1457115</v>
      </c>
      <c r="M11" s="643"/>
    </row>
    <row r="12" spans="1:13" s="644" customFormat="1" ht="25.5">
      <c r="A12" s="645" t="s">
        <v>399</v>
      </c>
      <c r="B12" s="646" t="s">
        <v>1092</v>
      </c>
      <c r="C12" s="642">
        <v>0</v>
      </c>
      <c r="D12" s="642">
        <v>0</v>
      </c>
      <c r="E12" s="642">
        <v>0</v>
      </c>
      <c r="F12" s="642">
        <v>0</v>
      </c>
      <c r="G12" s="994">
        <v>0</v>
      </c>
      <c r="H12" s="642">
        <v>0</v>
      </c>
      <c r="I12" s="992">
        <v>0</v>
      </c>
      <c r="J12" s="995">
        <v>0</v>
      </c>
      <c r="K12" s="642">
        <v>0</v>
      </c>
      <c r="L12" s="993">
        <v>883929</v>
      </c>
      <c r="M12" s="643"/>
    </row>
    <row r="13" spans="1:13" s="644" customFormat="1" ht="38.25">
      <c r="A13" s="645" t="s">
        <v>1093</v>
      </c>
      <c r="B13" s="646" t="s">
        <v>1094</v>
      </c>
      <c r="C13" s="642">
        <v>250330</v>
      </c>
      <c r="D13" s="642">
        <v>85480</v>
      </c>
      <c r="E13" s="642">
        <v>97203</v>
      </c>
      <c r="F13" s="642">
        <v>0</v>
      </c>
      <c r="G13" s="994">
        <v>973344</v>
      </c>
      <c r="H13" s="642">
        <v>0</v>
      </c>
      <c r="I13" s="992">
        <v>0</v>
      </c>
      <c r="J13" s="995">
        <v>119581</v>
      </c>
      <c r="K13" s="642">
        <v>0</v>
      </c>
      <c r="L13" s="993">
        <v>58071</v>
      </c>
      <c r="M13" s="643"/>
    </row>
    <row r="14" spans="1:13" s="644" customFormat="1" ht="38.25">
      <c r="A14" s="645" t="s">
        <v>401</v>
      </c>
      <c r="B14" s="646" t="s">
        <v>1095</v>
      </c>
      <c r="C14" s="642">
        <v>0</v>
      </c>
      <c r="D14" s="642">
        <v>520750</v>
      </c>
      <c r="E14" s="642">
        <v>51376</v>
      </c>
      <c r="F14" s="642">
        <v>1192750</v>
      </c>
      <c r="G14" s="994">
        <v>0</v>
      </c>
      <c r="H14" s="642">
        <v>942933</v>
      </c>
      <c r="I14" s="992">
        <v>621769</v>
      </c>
      <c r="J14" s="995">
        <v>379777</v>
      </c>
      <c r="K14" s="642">
        <v>518033</v>
      </c>
      <c r="L14" s="993">
        <v>130834</v>
      </c>
      <c r="M14" s="643"/>
    </row>
    <row r="15" spans="1:13" s="644" customFormat="1" ht="12.75">
      <c r="A15" s="645" t="s">
        <v>260</v>
      </c>
      <c r="B15" s="646" t="s">
        <v>1091</v>
      </c>
      <c r="C15" s="642">
        <v>19028631</v>
      </c>
      <c r="D15" s="642">
        <v>16628000</v>
      </c>
      <c r="E15" s="642">
        <v>9286000</v>
      </c>
      <c r="F15" s="642">
        <v>10433000</v>
      </c>
      <c r="G15" s="994">
        <v>6128000</v>
      </c>
      <c r="H15" s="642">
        <v>10262054</v>
      </c>
      <c r="I15" s="992">
        <v>18073578</v>
      </c>
      <c r="J15" s="995">
        <v>19297534</v>
      </c>
      <c r="K15" s="642">
        <v>13664891</v>
      </c>
      <c r="L15" s="993">
        <v>7248570</v>
      </c>
      <c r="M15" s="643"/>
    </row>
    <row r="16" spans="1:13" s="644" customFormat="1" ht="38.25">
      <c r="A16" s="645" t="s">
        <v>1406</v>
      </c>
      <c r="B16" s="646" t="s">
        <v>1091</v>
      </c>
      <c r="C16" s="642">
        <v>0</v>
      </c>
      <c r="D16" s="642">
        <v>0</v>
      </c>
      <c r="E16" s="642">
        <v>0</v>
      </c>
      <c r="F16" s="642">
        <v>500000</v>
      </c>
      <c r="G16" s="994">
        <v>0</v>
      </c>
      <c r="H16" s="642">
        <f>500000/4</f>
        <v>125000</v>
      </c>
      <c r="I16" s="992">
        <f>500000/4</f>
        <v>125000</v>
      </c>
      <c r="J16" s="995">
        <f>500000/4</f>
        <v>125000</v>
      </c>
      <c r="K16" s="642">
        <f>500000/4</f>
        <v>125000</v>
      </c>
      <c r="L16" s="993">
        <f>500000/4</f>
        <v>125000</v>
      </c>
      <c r="M16" s="643"/>
    </row>
    <row r="17" spans="1:13" s="644" customFormat="1" ht="38.25">
      <c r="A17" s="645" t="s">
        <v>402</v>
      </c>
      <c r="B17" s="646" t="s">
        <v>1091</v>
      </c>
      <c r="C17" s="642">
        <v>0</v>
      </c>
      <c r="D17" s="642">
        <v>0</v>
      </c>
      <c r="E17" s="642">
        <v>400000</v>
      </c>
      <c r="F17" s="642">
        <v>0</v>
      </c>
      <c r="G17" s="994">
        <v>0</v>
      </c>
      <c r="H17" s="642">
        <v>0</v>
      </c>
      <c r="I17" s="992">
        <v>0</v>
      </c>
      <c r="J17" s="995">
        <v>0</v>
      </c>
      <c r="K17" s="642">
        <v>0</v>
      </c>
      <c r="L17" s="993">
        <v>321230</v>
      </c>
      <c r="M17" s="643"/>
    </row>
    <row r="18" spans="1:13" s="644" customFormat="1" ht="25.5">
      <c r="A18" s="645" t="s">
        <v>1403</v>
      </c>
      <c r="B18" s="646" t="s">
        <v>1091</v>
      </c>
      <c r="C18" s="642">
        <v>33999103</v>
      </c>
      <c r="D18" s="642">
        <v>0</v>
      </c>
      <c r="E18" s="642">
        <v>33942130</v>
      </c>
      <c r="F18" s="642">
        <v>25456598</v>
      </c>
      <c r="G18" s="994">
        <v>47576225</v>
      </c>
      <c r="H18" s="642">
        <f>C18/2</f>
        <v>16999552</v>
      </c>
      <c r="I18" s="992">
        <f>C18/2</f>
        <v>16999552</v>
      </c>
      <c r="J18" s="995">
        <f>SUM(E18:G18)/4</f>
        <v>26743738</v>
      </c>
      <c r="K18" s="642">
        <f>J18</f>
        <v>26743738</v>
      </c>
      <c r="L18" s="993">
        <f>K18</f>
        <v>26743738</v>
      </c>
      <c r="M18" s="643"/>
    </row>
    <row r="19" spans="1:13" s="644" customFormat="1" ht="25.5">
      <c r="A19" s="645" t="s">
        <v>399</v>
      </c>
      <c r="B19" s="646" t="s">
        <v>1096</v>
      </c>
      <c r="C19" s="642">
        <v>0</v>
      </c>
      <c r="D19" s="642">
        <v>0</v>
      </c>
      <c r="E19" s="642">
        <v>0</v>
      </c>
      <c r="F19" s="642">
        <v>0</v>
      </c>
      <c r="G19" s="994">
        <v>0</v>
      </c>
      <c r="H19" s="642">
        <v>922171</v>
      </c>
      <c r="I19" s="992">
        <v>3339225</v>
      </c>
      <c r="J19" s="995">
        <v>302052</v>
      </c>
      <c r="K19" s="642">
        <v>537109</v>
      </c>
      <c r="L19" s="993">
        <v>347687</v>
      </c>
      <c r="M19" s="643"/>
    </row>
    <row r="20" spans="1:13" s="644" customFormat="1" ht="25.5">
      <c r="A20" s="645" t="s">
        <v>399</v>
      </c>
      <c r="B20" s="646" t="s">
        <v>1097</v>
      </c>
      <c r="C20" s="642">
        <v>0</v>
      </c>
      <c r="D20" s="642">
        <v>0</v>
      </c>
      <c r="E20" s="642">
        <v>0</v>
      </c>
      <c r="F20" s="642">
        <v>0</v>
      </c>
      <c r="G20" s="994">
        <v>0</v>
      </c>
      <c r="H20" s="642">
        <v>127621</v>
      </c>
      <c r="I20" s="992">
        <v>590558</v>
      </c>
      <c r="J20" s="995">
        <v>160287</v>
      </c>
      <c r="K20" s="642">
        <v>0</v>
      </c>
      <c r="L20" s="993">
        <v>0</v>
      </c>
      <c r="M20" s="643"/>
    </row>
    <row r="21" spans="1:13" s="644" customFormat="1" ht="25.5">
      <c r="A21" s="645" t="s">
        <v>403</v>
      </c>
      <c r="B21" s="646" t="s">
        <v>1098</v>
      </c>
      <c r="C21" s="642">
        <v>760389</v>
      </c>
      <c r="D21" s="642">
        <f>3686670+1865421</f>
        <v>5552091</v>
      </c>
      <c r="E21" s="642">
        <v>617674</v>
      </c>
      <c r="F21" s="642">
        <f>1110579+454761</f>
        <v>1565340</v>
      </c>
      <c r="G21" s="642">
        <v>1263976</v>
      </c>
      <c r="H21" s="642">
        <v>1666306</v>
      </c>
      <c r="I21" s="642">
        <v>1681493</v>
      </c>
      <c r="J21" s="995">
        <v>1628821</v>
      </c>
      <c r="K21" s="642">
        <v>1818168</v>
      </c>
      <c r="L21" s="993">
        <v>1239201</v>
      </c>
      <c r="M21" s="643"/>
    </row>
    <row r="22" spans="1:13" s="650" customFormat="1" ht="63.75">
      <c r="A22" s="645" t="s">
        <v>1099</v>
      </c>
      <c r="B22" s="646" t="s">
        <v>1100</v>
      </c>
      <c r="C22" s="647">
        <v>105000</v>
      </c>
      <c r="D22" s="642">
        <v>0</v>
      </c>
      <c r="E22" s="642">
        <v>0</v>
      </c>
      <c r="F22" s="642">
        <v>0</v>
      </c>
      <c r="G22" s="642">
        <v>100000</v>
      </c>
      <c r="H22" s="647">
        <v>78135</v>
      </c>
      <c r="I22" s="647">
        <v>55205</v>
      </c>
      <c r="J22" s="647">
        <v>0</v>
      </c>
      <c r="K22" s="647">
        <v>52348</v>
      </c>
      <c r="L22" s="648">
        <v>6801</v>
      </c>
      <c r="M22" s="649"/>
    </row>
    <row r="23" spans="1:13" s="650" customFormat="1" ht="25.5">
      <c r="A23" s="700" t="s">
        <v>697</v>
      </c>
      <c r="B23" s="701" t="s">
        <v>696</v>
      </c>
      <c r="C23" s="702">
        <v>0</v>
      </c>
      <c r="D23" s="703">
        <v>0</v>
      </c>
      <c r="E23" s="703">
        <v>0</v>
      </c>
      <c r="F23" s="703">
        <v>0</v>
      </c>
      <c r="G23" s="703">
        <v>17586000</v>
      </c>
      <c r="H23" s="702">
        <v>0</v>
      </c>
      <c r="I23" s="702">
        <v>0</v>
      </c>
      <c r="J23" s="702">
        <v>0</v>
      </c>
      <c r="K23" s="702">
        <v>0</v>
      </c>
      <c r="L23" s="704">
        <v>0</v>
      </c>
      <c r="M23" s="649"/>
    </row>
    <row r="24" spans="1:13" s="278" customFormat="1" ht="13.5" thickBot="1">
      <c r="A24" s="651" t="s">
        <v>1178</v>
      </c>
      <c r="B24" s="652"/>
      <c r="C24" s="653">
        <f>SUM(C9:C23)</f>
        <v>60040453</v>
      </c>
      <c r="D24" s="653">
        <f aca="true" t="shared" si="0" ref="D24:L24">SUM(D9:D23)</f>
        <v>23186321</v>
      </c>
      <c r="E24" s="653">
        <f t="shared" si="0"/>
        <v>47155383</v>
      </c>
      <c r="F24" s="653">
        <f t="shared" si="0"/>
        <v>42147688</v>
      </c>
      <c r="G24" s="653">
        <f t="shared" si="0"/>
        <v>74106545</v>
      </c>
      <c r="H24" s="653">
        <f t="shared" si="0"/>
        <v>31842948</v>
      </c>
      <c r="I24" s="653">
        <f t="shared" si="0"/>
        <v>42617786</v>
      </c>
      <c r="J24" s="653">
        <f t="shared" si="0"/>
        <v>49610897</v>
      </c>
      <c r="K24" s="653">
        <f t="shared" si="0"/>
        <v>45410742</v>
      </c>
      <c r="L24" s="998">
        <f t="shared" si="0"/>
        <v>39136923</v>
      </c>
      <c r="M24" s="654"/>
    </row>
    <row r="25" spans="1:12" ht="14.25" thickBot="1" thickTop="1">
      <c r="A25" s="655"/>
      <c r="B25" s="277"/>
      <c r="C25" s="656"/>
      <c r="D25" s="656"/>
      <c r="E25" s="656"/>
      <c r="F25" s="656"/>
      <c r="G25" s="656"/>
      <c r="H25" s="656"/>
      <c r="I25" s="656"/>
      <c r="J25" s="656"/>
      <c r="K25" s="656"/>
      <c r="L25" s="657"/>
    </row>
    <row r="26" spans="1:12" ht="12.75">
      <c r="A26" s="999"/>
      <c r="B26" s="999"/>
      <c r="C26" s="1000"/>
      <c r="D26" s="1000"/>
      <c r="E26" s="1000"/>
      <c r="F26" s="1000"/>
      <c r="G26" s="1000"/>
      <c r="H26" s="1000"/>
      <c r="I26" s="1000"/>
      <c r="J26" s="1000"/>
      <c r="K26" s="1000"/>
      <c r="L26" s="1000"/>
    </row>
    <row r="27" spans="1:12" ht="12.75">
      <c r="A27" s="999"/>
      <c r="B27" s="999"/>
      <c r="C27" s="1000"/>
      <c r="D27" s="1000"/>
      <c r="E27" s="1000"/>
      <c r="F27" s="1225" t="s">
        <v>153</v>
      </c>
      <c r="G27" s="1000"/>
      <c r="H27" s="1000"/>
      <c r="I27" s="1000"/>
      <c r="J27" s="1000"/>
      <c r="K27" s="1000"/>
      <c r="L27" s="1000"/>
    </row>
    <row r="28" spans="1:12" ht="12.75">
      <c r="A28" s="999"/>
      <c r="B28" s="999"/>
      <c r="C28" s="1000"/>
      <c r="D28" s="1000"/>
      <c r="E28" s="1000"/>
      <c r="F28" s="1000"/>
      <c r="G28" s="1000"/>
      <c r="H28" s="1000"/>
      <c r="I28" s="1000"/>
      <c r="J28" s="1000"/>
      <c r="K28" s="1000"/>
      <c r="L28" s="1000"/>
    </row>
    <row r="29" spans="1:12" ht="12.75">
      <c r="A29" s="999"/>
      <c r="B29" s="999"/>
      <c r="C29" s="1000"/>
      <c r="D29" s="1000"/>
      <c r="E29" s="1000"/>
      <c r="F29" s="1000"/>
      <c r="G29" s="1000"/>
      <c r="H29" s="1000"/>
      <c r="I29" s="1000"/>
      <c r="J29" s="1000"/>
      <c r="K29" s="1000"/>
      <c r="L29" s="1000"/>
    </row>
    <row r="30" spans="1:12" ht="12.75">
      <c r="A30" s="999"/>
      <c r="B30" s="999"/>
      <c r="C30" s="1000"/>
      <c r="D30" s="1000"/>
      <c r="E30" s="1000"/>
      <c r="F30" s="1000"/>
      <c r="G30" s="1000"/>
      <c r="H30" s="1000"/>
      <c r="I30" s="1000"/>
      <c r="J30" s="1000"/>
      <c r="K30" s="1000"/>
      <c r="L30" s="1000"/>
    </row>
    <row r="31" spans="1:12" ht="12.75">
      <c r="A31" s="999"/>
      <c r="B31" s="999"/>
      <c r="C31" s="1000"/>
      <c r="D31" s="1000"/>
      <c r="E31" s="1000"/>
      <c r="F31" s="1000"/>
      <c r="G31" s="1000"/>
      <c r="H31" s="1000"/>
      <c r="I31" s="1000"/>
      <c r="J31" s="1000"/>
      <c r="K31" s="1000"/>
      <c r="L31" s="1000"/>
    </row>
    <row r="32" spans="1:12" ht="12.75">
      <c r="A32" s="999"/>
      <c r="B32" s="999"/>
      <c r="C32" s="1000"/>
      <c r="D32" s="1000"/>
      <c r="E32" s="1000"/>
      <c r="F32" s="1000"/>
      <c r="G32" s="1000"/>
      <c r="H32" s="1000"/>
      <c r="I32" s="1000"/>
      <c r="J32" s="1000"/>
      <c r="K32" s="1000"/>
      <c r="L32" s="1000"/>
    </row>
    <row r="33" spans="1:12" ht="12.75">
      <c r="A33" s="999"/>
      <c r="B33" s="999"/>
      <c r="C33" s="1000"/>
      <c r="D33" s="1000"/>
      <c r="E33" s="1000"/>
      <c r="F33" s="1000"/>
      <c r="G33" s="1000"/>
      <c r="H33" s="1000"/>
      <c r="I33" s="1000"/>
      <c r="J33" s="1000"/>
      <c r="K33" s="1000"/>
      <c r="L33" s="1000"/>
    </row>
    <row r="34" spans="1:12" ht="12.75">
      <c r="A34" s="999"/>
      <c r="B34" s="999"/>
      <c r="C34" s="1000"/>
      <c r="D34" s="1000"/>
      <c r="E34" s="1000"/>
      <c r="F34" s="1000"/>
      <c r="G34" s="1000"/>
      <c r="H34" s="1000"/>
      <c r="I34" s="1000"/>
      <c r="J34" s="1000"/>
      <c r="K34" s="1000"/>
      <c r="L34" s="1000"/>
    </row>
    <row r="35" spans="1:12" ht="12.75">
      <c r="A35" s="999"/>
      <c r="B35" s="999"/>
      <c r="C35" s="1000"/>
      <c r="D35" s="1000"/>
      <c r="E35" s="1000"/>
      <c r="F35" s="1000"/>
      <c r="G35" s="1000"/>
      <c r="H35" s="1000"/>
      <c r="I35" s="1000"/>
      <c r="J35" s="1000"/>
      <c r="K35" s="1000"/>
      <c r="L35" s="1000"/>
    </row>
    <row r="36" spans="1:12" ht="12.75">
      <c r="A36" s="999"/>
      <c r="B36" s="999"/>
      <c r="C36" s="1000"/>
      <c r="D36" s="1000"/>
      <c r="E36" s="1000"/>
      <c r="F36" s="1000"/>
      <c r="G36" s="1000"/>
      <c r="H36" s="1000"/>
      <c r="I36" s="1000"/>
      <c r="J36" s="1000"/>
      <c r="K36" s="1000"/>
      <c r="L36" s="1000"/>
    </row>
    <row r="37" spans="1:12" ht="12.75">
      <c r="A37" s="999"/>
      <c r="B37" s="999"/>
      <c r="C37" s="1000"/>
      <c r="D37" s="1000"/>
      <c r="E37" s="1000"/>
      <c r="F37" s="1000"/>
      <c r="G37" s="1000"/>
      <c r="H37" s="1000"/>
      <c r="I37" s="1000"/>
      <c r="J37" s="1000"/>
      <c r="K37" s="1000"/>
      <c r="L37" s="1000"/>
    </row>
    <row r="38" spans="1:12" ht="12.75">
      <c r="A38" s="999"/>
      <c r="B38" s="999"/>
      <c r="C38" s="1000"/>
      <c r="D38" s="1000"/>
      <c r="E38" s="1000"/>
      <c r="F38" s="1000"/>
      <c r="G38" s="1000"/>
      <c r="H38" s="1000"/>
      <c r="I38" s="1000"/>
      <c r="J38" s="1000"/>
      <c r="K38" s="1000"/>
      <c r="L38" s="1000"/>
    </row>
    <row r="39" spans="1:12" ht="12.75">
      <c r="A39" s="999"/>
      <c r="B39" s="999"/>
      <c r="C39" s="1000"/>
      <c r="D39" s="1000"/>
      <c r="E39" s="1000"/>
      <c r="F39" s="1000"/>
      <c r="G39" s="1000"/>
      <c r="H39" s="1000"/>
      <c r="I39" s="1000"/>
      <c r="J39" s="1000"/>
      <c r="K39" s="1000"/>
      <c r="L39" s="1000"/>
    </row>
    <row r="40" spans="1:12" ht="12.75">
      <c r="A40" s="999"/>
      <c r="B40" s="999"/>
      <c r="C40" s="1000"/>
      <c r="D40" s="1000"/>
      <c r="E40" s="1000"/>
      <c r="F40" s="1000"/>
      <c r="G40" s="1000"/>
      <c r="H40" s="1000"/>
      <c r="I40" s="1000"/>
      <c r="J40" s="1000"/>
      <c r="K40" s="1000"/>
      <c r="L40" s="1000"/>
    </row>
    <row r="41" spans="1:12" ht="12.75">
      <c r="A41" s="999"/>
      <c r="B41" s="999"/>
      <c r="C41" s="1000"/>
      <c r="D41" s="1000"/>
      <c r="E41" s="1000"/>
      <c r="F41" s="1000"/>
      <c r="G41" s="1000"/>
      <c r="H41" s="1000"/>
      <c r="I41" s="1000"/>
      <c r="J41" s="1000"/>
      <c r="K41" s="1000"/>
      <c r="L41" s="1000"/>
    </row>
    <row r="42" spans="1:12" ht="12.75">
      <c r="A42" s="999"/>
      <c r="B42" s="999"/>
      <c r="C42" s="1000"/>
      <c r="D42" s="1000"/>
      <c r="E42" s="1000"/>
      <c r="F42" s="1000"/>
      <c r="G42" s="1000"/>
      <c r="H42" s="1000"/>
      <c r="I42" s="1000"/>
      <c r="J42" s="1000"/>
      <c r="K42" s="1000"/>
      <c r="L42" s="1000"/>
    </row>
    <row r="43" spans="1:12" ht="12.75">
      <c r="A43" s="999"/>
      <c r="B43" s="999"/>
      <c r="C43" s="1000"/>
      <c r="D43" s="1000"/>
      <c r="E43" s="1000"/>
      <c r="F43" s="1000"/>
      <c r="G43" s="1000"/>
      <c r="H43" s="1000"/>
      <c r="I43" s="1000"/>
      <c r="J43" s="1000"/>
      <c r="K43" s="1000"/>
      <c r="L43" s="1000"/>
    </row>
    <row r="44" spans="1:12" ht="12.75">
      <c r="A44" s="999"/>
      <c r="B44" s="999"/>
      <c r="C44" s="1000"/>
      <c r="D44" s="1000"/>
      <c r="E44" s="1000"/>
      <c r="F44" s="1000"/>
      <c r="G44" s="1000"/>
      <c r="H44" s="1000"/>
      <c r="I44" s="1000"/>
      <c r="J44" s="1000"/>
      <c r="K44" s="1000"/>
      <c r="L44" s="1000"/>
    </row>
    <row r="45" spans="1:12" ht="12.75">
      <c r="A45" s="999"/>
      <c r="B45" s="999"/>
      <c r="C45" s="1000"/>
      <c r="D45" s="1000"/>
      <c r="E45" s="1000"/>
      <c r="F45" s="1000"/>
      <c r="G45" s="1000"/>
      <c r="H45" s="1000"/>
      <c r="I45" s="1000"/>
      <c r="J45" s="1000"/>
      <c r="K45" s="1000"/>
      <c r="L45" s="1000"/>
    </row>
    <row r="46" spans="1:12" ht="12.75">
      <c r="A46" s="999"/>
      <c r="B46" s="999"/>
      <c r="C46" s="1000"/>
      <c r="D46" s="1000"/>
      <c r="E46" s="1000"/>
      <c r="F46" s="1000"/>
      <c r="G46" s="1000"/>
      <c r="H46" s="1000"/>
      <c r="I46" s="1000"/>
      <c r="J46" s="1000"/>
      <c r="K46" s="1000"/>
      <c r="L46" s="1000"/>
    </row>
    <row r="47" spans="1:12" ht="12.75">
      <c r="A47" s="999"/>
      <c r="B47" s="999"/>
      <c r="C47" s="1000"/>
      <c r="D47" s="1000"/>
      <c r="E47" s="1000"/>
      <c r="F47" s="1000"/>
      <c r="G47" s="1000"/>
      <c r="H47" s="1000"/>
      <c r="I47" s="1000"/>
      <c r="J47" s="1000"/>
      <c r="K47" s="1000"/>
      <c r="L47" s="1000"/>
    </row>
    <row r="48" spans="1:12" ht="12.75">
      <c r="A48" s="999"/>
      <c r="B48" s="999"/>
      <c r="C48" s="1000"/>
      <c r="D48" s="1000"/>
      <c r="E48" s="1000"/>
      <c r="F48" s="1000"/>
      <c r="G48" s="1000"/>
      <c r="H48" s="1000"/>
      <c r="I48" s="1000"/>
      <c r="J48" s="1000"/>
      <c r="K48" s="1000"/>
      <c r="L48" s="1000"/>
    </row>
    <row r="49" spans="1:12" ht="12.75">
      <c r="A49" s="999"/>
      <c r="B49" s="999"/>
      <c r="C49" s="1000"/>
      <c r="D49" s="1000"/>
      <c r="E49" s="1000"/>
      <c r="F49" s="1000"/>
      <c r="G49" s="1000"/>
      <c r="H49" s="1000"/>
      <c r="I49" s="1000"/>
      <c r="J49" s="1000"/>
      <c r="K49" s="1000"/>
      <c r="L49" s="1000"/>
    </row>
    <row r="50" spans="1:12" ht="12.75">
      <c r="A50" s="999"/>
      <c r="B50" s="999"/>
      <c r="C50" s="1000"/>
      <c r="D50" s="1000"/>
      <c r="E50" s="1000"/>
      <c r="F50" s="1000"/>
      <c r="G50" s="1000"/>
      <c r="H50" s="1000"/>
      <c r="I50" s="1000"/>
      <c r="J50" s="1000"/>
      <c r="K50" s="1000"/>
      <c r="L50" s="1000"/>
    </row>
    <row r="51" spans="1:12" ht="12.75">
      <c r="A51" s="999"/>
      <c r="B51" s="999"/>
      <c r="C51" s="1000"/>
      <c r="D51" s="1000"/>
      <c r="E51" s="1000"/>
      <c r="F51" s="1000"/>
      <c r="G51" s="1000"/>
      <c r="H51" s="1000"/>
      <c r="I51" s="1000"/>
      <c r="J51" s="1000"/>
      <c r="K51" s="1000"/>
      <c r="L51" s="1000"/>
    </row>
    <row r="52" spans="1:12" ht="12.75">
      <c r="A52" s="999"/>
      <c r="B52" s="999"/>
      <c r="C52" s="1000"/>
      <c r="D52" s="1000"/>
      <c r="E52" s="1000"/>
      <c r="F52" s="1000"/>
      <c r="G52" s="1000"/>
      <c r="H52" s="1000"/>
      <c r="I52" s="1000"/>
      <c r="J52" s="1000"/>
      <c r="K52" s="1000"/>
      <c r="L52" s="1000"/>
    </row>
    <row r="53" spans="1:12" ht="12.75">
      <c r="A53" s="999"/>
      <c r="B53" s="999"/>
      <c r="C53" s="1000"/>
      <c r="D53" s="1000"/>
      <c r="E53" s="1000"/>
      <c r="F53" s="1000"/>
      <c r="G53" s="1000"/>
      <c r="H53" s="1000"/>
      <c r="I53" s="1000"/>
      <c r="J53" s="1000"/>
      <c r="K53" s="1000"/>
      <c r="L53" s="1000"/>
    </row>
    <row r="54" spans="1:12" ht="12.75">
      <c r="A54" s="999"/>
      <c r="B54" s="999"/>
      <c r="C54" s="1000"/>
      <c r="D54" s="1000"/>
      <c r="E54" s="1000"/>
      <c r="F54" s="1000"/>
      <c r="G54" s="1000"/>
      <c r="H54" s="1000"/>
      <c r="I54" s="1000"/>
      <c r="J54" s="1000"/>
      <c r="K54" s="1000"/>
      <c r="L54" s="1000"/>
    </row>
    <row r="55" spans="1:12" ht="12.75">
      <c r="A55" s="999"/>
      <c r="B55" s="999"/>
      <c r="C55" s="1000"/>
      <c r="D55" s="1000"/>
      <c r="E55" s="1000"/>
      <c r="F55" s="1000"/>
      <c r="G55" s="1000"/>
      <c r="H55" s="1000"/>
      <c r="I55" s="1000"/>
      <c r="J55" s="1000"/>
      <c r="K55" s="1000"/>
      <c r="L55" s="1000"/>
    </row>
    <row r="56" spans="1:12" ht="12.75">
      <c r="A56" s="999"/>
      <c r="B56" s="999"/>
      <c r="C56" s="1000"/>
      <c r="D56" s="1000"/>
      <c r="E56" s="1000"/>
      <c r="F56" s="1000"/>
      <c r="G56" s="1000"/>
      <c r="H56" s="1000"/>
      <c r="I56" s="1000"/>
      <c r="J56" s="1000"/>
      <c r="K56" s="1000"/>
      <c r="L56" s="1000"/>
    </row>
    <row r="57" spans="1:12" ht="12.75">
      <c r="A57" s="999"/>
      <c r="B57" s="999"/>
      <c r="C57" s="1000"/>
      <c r="D57" s="1000"/>
      <c r="E57" s="1000"/>
      <c r="F57" s="1000"/>
      <c r="G57" s="1000"/>
      <c r="H57" s="1000"/>
      <c r="I57" s="1000"/>
      <c r="J57" s="1000"/>
      <c r="K57" s="1000"/>
      <c r="L57" s="1000"/>
    </row>
    <row r="58" spans="1:12" ht="12.75">
      <c r="A58" s="999"/>
      <c r="B58" s="999"/>
      <c r="C58" s="1000"/>
      <c r="D58" s="1000"/>
      <c r="E58" s="1000"/>
      <c r="F58" s="1000"/>
      <c r="G58" s="1000"/>
      <c r="H58" s="1000"/>
      <c r="I58" s="1000"/>
      <c r="J58" s="1000"/>
      <c r="K58" s="1000"/>
      <c r="L58" s="1000"/>
    </row>
    <row r="59" spans="1:12" ht="12.75">
      <c r="A59" s="999"/>
      <c r="B59" s="999"/>
      <c r="C59" s="1000"/>
      <c r="D59" s="1000"/>
      <c r="E59" s="1000"/>
      <c r="F59" s="1000"/>
      <c r="G59" s="1000"/>
      <c r="H59" s="1000"/>
      <c r="I59" s="1000"/>
      <c r="J59" s="1000"/>
      <c r="K59" s="1000"/>
      <c r="L59" s="1000"/>
    </row>
    <row r="60" spans="1:12" ht="12.75">
      <c r="A60" s="999"/>
      <c r="B60" s="999"/>
      <c r="C60" s="1000"/>
      <c r="D60" s="1000"/>
      <c r="E60" s="1000"/>
      <c r="F60" s="1000"/>
      <c r="G60" s="1000"/>
      <c r="H60" s="1000"/>
      <c r="I60" s="1000"/>
      <c r="J60" s="1000"/>
      <c r="K60" s="1000"/>
      <c r="L60" s="1000"/>
    </row>
    <row r="61" spans="1:12" ht="12.75">
      <c r="A61" s="999"/>
      <c r="B61" s="999"/>
      <c r="C61" s="1000"/>
      <c r="D61" s="1000"/>
      <c r="E61" s="1000"/>
      <c r="F61" s="1000"/>
      <c r="G61" s="1000"/>
      <c r="H61" s="1000"/>
      <c r="I61" s="1000"/>
      <c r="J61" s="1000"/>
      <c r="K61" s="1000"/>
      <c r="L61" s="1000"/>
    </row>
    <row r="62" spans="1:12" ht="12.75">
      <c r="A62" s="999"/>
      <c r="B62" s="999"/>
      <c r="C62" s="1000"/>
      <c r="D62" s="1000"/>
      <c r="E62" s="1000"/>
      <c r="F62" s="1000"/>
      <c r="G62" s="1000"/>
      <c r="H62" s="1000"/>
      <c r="I62" s="1000"/>
      <c r="J62" s="1000"/>
      <c r="K62" s="1000"/>
      <c r="L62" s="1000"/>
    </row>
    <row r="63" spans="1:12" ht="12.75">
      <c r="A63" s="999"/>
      <c r="B63" s="999"/>
      <c r="C63" s="1000"/>
      <c r="D63" s="1000"/>
      <c r="E63" s="1000"/>
      <c r="F63" s="1000"/>
      <c r="G63" s="1000"/>
      <c r="H63" s="1000"/>
      <c r="I63" s="1000"/>
      <c r="J63" s="1000"/>
      <c r="K63" s="1000"/>
      <c r="L63" s="1000"/>
    </row>
    <row r="64" spans="1:12" ht="12.75">
      <c r="A64" s="999"/>
      <c r="B64" s="999"/>
      <c r="C64" s="1000"/>
      <c r="D64" s="1000"/>
      <c r="E64" s="1000"/>
      <c r="F64" s="1000"/>
      <c r="G64" s="1000"/>
      <c r="H64" s="1000"/>
      <c r="I64" s="1000"/>
      <c r="J64" s="1000"/>
      <c r="K64" s="1000"/>
      <c r="L64" s="1000"/>
    </row>
    <row r="65" spans="1:12" ht="12.75">
      <c r="A65" s="999"/>
      <c r="B65" s="999"/>
      <c r="C65" s="1000"/>
      <c r="D65" s="1000"/>
      <c r="E65" s="1000"/>
      <c r="F65" s="1000"/>
      <c r="G65" s="1000"/>
      <c r="H65" s="1000"/>
      <c r="I65" s="1000"/>
      <c r="J65" s="1000"/>
      <c r="K65" s="1000"/>
      <c r="L65" s="1000"/>
    </row>
    <row r="66" spans="1:12" ht="12.75">
      <c r="A66" s="999"/>
      <c r="B66" s="999"/>
      <c r="C66" s="1000"/>
      <c r="D66" s="1000"/>
      <c r="E66" s="1000"/>
      <c r="F66" s="1000"/>
      <c r="G66" s="1000"/>
      <c r="H66" s="1000"/>
      <c r="I66" s="1000"/>
      <c r="J66" s="1000"/>
      <c r="K66" s="1000"/>
      <c r="L66" s="1000"/>
    </row>
    <row r="67" spans="1:12" ht="12.75">
      <c r="A67" s="999"/>
      <c r="B67" s="999"/>
      <c r="C67" s="1000"/>
      <c r="D67" s="1000"/>
      <c r="E67" s="1000"/>
      <c r="F67" s="1000"/>
      <c r="G67" s="1000"/>
      <c r="H67" s="1000"/>
      <c r="I67" s="1000"/>
      <c r="J67" s="1000"/>
      <c r="K67" s="1000"/>
      <c r="L67" s="1000"/>
    </row>
    <row r="68" spans="1:12" ht="12.75">
      <c r="A68" s="999"/>
      <c r="B68" s="999"/>
      <c r="C68" s="1000"/>
      <c r="D68" s="1000"/>
      <c r="E68" s="1000"/>
      <c r="F68" s="1000"/>
      <c r="G68" s="1000"/>
      <c r="H68" s="1000"/>
      <c r="I68" s="1000"/>
      <c r="J68" s="1000"/>
      <c r="K68" s="1000"/>
      <c r="L68" s="1000"/>
    </row>
    <row r="69" spans="1:12" ht="12.75">
      <c r="A69" s="999"/>
      <c r="B69" s="999"/>
      <c r="C69" s="1000"/>
      <c r="D69" s="1000"/>
      <c r="E69" s="1000"/>
      <c r="F69" s="1000"/>
      <c r="G69" s="1000"/>
      <c r="H69" s="1000"/>
      <c r="I69" s="1000"/>
      <c r="J69" s="1000"/>
      <c r="K69" s="1000"/>
      <c r="L69" s="1000"/>
    </row>
    <row r="70" spans="1:12" ht="12.75">
      <c r="A70" s="999"/>
      <c r="B70" s="999"/>
      <c r="C70" s="1000"/>
      <c r="D70" s="1000"/>
      <c r="E70" s="1000"/>
      <c r="F70" s="1000"/>
      <c r="G70" s="1000"/>
      <c r="H70" s="1000"/>
      <c r="I70" s="1000"/>
      <c r="J70" s="1000"/>
      <c r="K70" s="1000"/>
      <c r="L70" s="1000"/>
    </row>
    <row r="71" spans="1:12" ht="12.75">
      <c r="A71" s="999"/>
      <c r="B71" s="999"/>
      <c r="C71" s="1000"/>
      <c r="D71" s="1000"/>
      <c r="E71" s="1000"/>
      <c r="F71" s="1000"/>
      <c r="G71" s="1000"/>
      <c r="H71" s="1000"/>
      <c r="I71" s="1000"/>
      <c r="J71" s="1000"/>
      <c r="K71" s="1000"/>
      <c r="L71" s="1000"/>
    </row>
    <row r="72" spans="1:12" ht="12.75">
      <c r="A72" s="999"/>
      <c r="B72" s="999"/>
      <c r="C72" s="1000"/>
      <c r="D72" s="1000"/>
      <c r="E72" s="1000"/>
      <c r="F72" s="1000"/>
      <c r="G72" s="1000"/>
      <c r="H72" s="1000"/>
      <c r="I72" s="1000"/>
      <c r="J72" s="1000"/>
      <c r="K72" s="1000"/>
      <c r="L72" s="1000"/>
    </row>
    <row r="73" spans="1:12" ht="12.75">
      <c r="A73" s="999"/>
      <c r="B73" s="999"/>
      <c r="C73" s="1000"/>
      <c r="D73" s="1000"/>
      <c r="E73" s="1000"/>
      <c r="F73" s="1000"/>
      <c r="G73" s="1000"/>
      <c r="H73" s="1000"/>
      <c r="I73" s="1000"/>
      <c r="J73" s="1000"/>
      <c r="K73" s="1000"/>
      <c r="L73" s="1000"/>
    </row>
  </sheetData>
  <sheetProtection/>
  <mergeCells count="6">
    <mergeCell ref="A1:L1"/>
    <mergeCell ref="A2:L2"/>
    <mergeCell ref="A4:L4"/>
    <mergeCell ref="C7:G7"/>
    <mergeCell ref="H7:L7"/>
    <mergeCell ref="A5:L5"/>
  </mergeCells>
  <printOptions/>
  <pageMargins left="0.3937007874015748" right="0.3937007874015748" top="0.7480314960629921" bottom="0.7480314960629921" header="0.31496062992125984" footer="0.31496062992125984"/>
  <pageSetup fitToHeight="1" fitToWidth="1" horizontalDpi="600" verticalDpi="600" orientation="portrait" paperSize="9" scale="63" r:id="rId1"/>
  <headerFooter alignWithMargins="0">
    <oddFooter>&amp;C- 38 -
</oddFooter>
  </headerFooter>
</worksheet>
</file>

<file path=xl/worksheets/sheet2.xml><?xml version="1.0" encoding="utf-8"?>
<worksheet xmlns="http://schemas.openxmlformats.org/spreadsheetml/2006/main" xmlns:r="http://schemas.openxmlformats.org/officeDocument/2006/relationships">
  <dimension ref="A3:H39"/>
  <sheetViews>
    <sheetView zoomScalePageLayoutView="0" workbookViewId="0" topLeftCell="A10">
      <selection activeCell="B11" sqref="B11"/>
    </sheetView>
  </sheetViews>
  <sheetFormatPr defaultColWidth="9.140625" defaultRowHeight="12.75"/>
  <cols>
    <col min="1" max="1" width="71.57421875" style="227" customWidth="1"/>
    <col min="2" max="2" width="12.7109375" style="229" customWidth="1"/>
    <col min="3" max="16384" width="9.140625" style="227" customWidth="1"/>
  </cols>
  <sheetData>
    <row r="3" spans="1:8" ht="15.75">
      <c r="A3" s="1285" t="s">
        <v>1185</v>
      </c>
      <c r="B3" s="1285"/>
      <c r="C3" s="226"/>
      <c r="D3" s="226"/>
      <c r="E3" s="226"/>
      <c r="F3" s="226"/>
      <c r="G3" s="226"/>
      <c r="H3" s="226"/>
    </row>
    <row r="5" spans="1:2" ht="15.75">
      <c r="A5" s="1286" t="s">
        <v>204</v>
      </c>
      <c r="B5" s="1286"/>
    </row>
    <row r="6" ht="13.5" thickBot="1"/>
    <row r="7" spans="1:2" ht="12.75">
      <c r="A7" s="391"/>
      <c r="B7" s="415"/>
    </row>
    <row r="8" spans="1:2" ht="12.75">
      <c r="A8" s="399"/>
      <c r="B8" s="416" t="s">
        <v>205</v>
      </c>
    </row>
    <row r="9" spans="1:2" ht="12.75">
      <c r="A9" s="417" t="s">
        <v>206</v>
      </c>
      <c r="B9" s="416">
        <v>1</v>
      </c>
    </row>
    <row r="10" spans="1:2" ht="12.75">
      <c r="A10" s="418"/>
      <c r="B10" s="416"/>
    </row>
    <row r="11" spans="1:2" ht="12.75" customHeight="1">
      <c r="A11" s="419" t="s">
        <v>207</v>
      </c>
      <c r="B11" s="420">
        <v>2</v>
      </c>
    </row>
    <row r="12" spans="1:2" ht="16.5" customHeight="1">
      <c r="A12" s="419"/>
      <c r="B12" s="420"/>
    </row>
    <row r="13" spans="1:2" ht="18" customHeight="1">
      <c r="A13" s="419" t="s">
        <v>208</v>
      </c>
      <c r="B13" s="420">
        <v>3</v>
      </c>
    </row>
    <row r="14" spans="1:2" ht="12.75" customHeight="1">
      <c r="A14" s="419"/>
      <c r="B14" s="420"/>
    </row>
    <row r="15" spans="1:2" ht="18" customHeight="1">
      <c r="A15" s="419" t="s">
        <v>209</v>
      </c>
      <c r="B15" s="420">
        <v>4</v>
      </c>
    </row>
    <row r="16" spans="1:2" ht="12.75" customHeight="1">
      <c r="A16" s="419"/>
      <c r="B16" s="420"/>
    </row>
    <row r="17" spans="1:2" ht="18.75" customHeight="1">
      <c r="A17" s="419" t="s">
        <v>210</v>
      </c>
      <c r="B17" s="420">
        <v>5</v>
      </c>
    </row>
    <row r="18" spans="1:2" ht="12.75" customHeight="1">
      <c r="A18" s="419"/>
      <c r="B18" s="420"/>
    </row>
    <row r="19" spans="1:2" ht="16.5" customHeight="1">
      <c r="A19" s="419" t="s">
        <v>211</v>
      </c>
      <c r="B19" s="421">
        <v>6</v>
      </c>
    </row>
    <row r="20" spans="1:2" ht="12.75" customHeight="1">
      <c r="A20" s="419"/>
      <c r="B20" s="420"/>
    </row>
    <row r="21" spans="1:2" ht="17.25" customHeight="1">
      <c r="A21" s="419" t="s">
        <v>212</v>
      </c>
      <c r="B21" s="420">
        <v>14</v>
      </c>
    </row>
    <row r="22" spans="1:2" ht="12.75" customHeight="1">
      <c r="A22" s="419"/>
      <c r="B22" s="420"/>
    </row>
    <row r="23" spans="1:2" ht="19.5" customHeight="1">
      <c r="A23" s="419" t="s">
        <v>1049</v>
      </c>
      <c r="B23" s="420">
        <v>31</v>
      </c>
    </row>
    <row r="24" spans="1:2" ht="12.75" customHeight="1">
      <c r="A24" s="419"/>
      <c r="B24" s="420"/>
    </row>
    <row r="25" spans="1:2" ht="18" customHeight="1">
      <c r="A25" s="419" t="s">
        <v>213</v>
      </c>
      <c r="B25" s="420">
        <v>32</v>
      </c>
    </row>
    <row r="26" spans="1:2" ht="12.75" customHeight="1">
      <c r="A26" s="419"/>
      <c r="B26" s="420"/>
    </row>
    <row r="27" spans="1:2" ht="17.25" customHeight="1">
      <c r="A27" s="419" t="s">
        <v>214</v>
      </c>
      <c r="B27" s="420">
        <v>33</v>
      </c>
    </row>
    <row r="28" spans="1:2" ht="12.75" customHeight="1">
      <c r="A28" s="419"/>
      <c r="B28" s="420"/>
    </row>
    <row r="29" spans="1:2" ht="17.25" customHeight="1">
      <c r="A29" s="419" t="s">
        <v>215</v>
      </c>
      <c r="B29" s="420">
        <v>34</v>
      </c>
    </row>
    <row r="30" spans="1:2" ht="12.75" customHeight="1">
      <c r="A30" s="419"/>
      <c r="B30" s="420"/>
    </row>
    <row r="31" spans="1:2" ht="16.5" customHeight="1">
      <c r="A31" s="419" t="s">
        <v>216</v>
      </c>
      <c r="B31" s="420">
        <v>35</v>
      </c>
    </row>
    <row r="32" spans="1:2" ht="12.75" customHeight="1">
      <c r="A32" s="419"/>
      <c r="B32" s="420"/>
    </row>
    <row r="33" spans="1:2" ht="30" customHeight="1">
      <c r="A33" s="419" t="s">
        <v>217</v>
      </c>
      <c r="B33" s="420">
        <v>36</v>
      </c>
    </row>
    <row r="34" spans="1:2" ht="12.75" customHeight="1">
      <c r="A34" s="419"/>
      <c r="B34" s="420"/>
    </row>
    <row r="35" spans="1:2" ht="12.75">
      <c r="A35" s="419" t="s">
        <v>192</v>
      </c>
      <c r="B35" s="420">
        <v>37</v>
      </c>
    </row>
    <row r="36" spans="1:2" ht="12.75">
      <c r="A36" s="419"/>
      <c r="B36" s="420"/>
    </row>
    <row r="37" spans="1:2" ht="12.75">
      <c r="A37" s="419" t="s">
        <v>858</v>
      </c>
      <c r="B37" s="420">
        <v>38</v>
      </c>
    </row>
    <row r="38" spans="1:2" ht="32.25" customHeight="1" thickBot="1">
      <c r="A38" s="422"/>
      <c r="B38" s="423"/>
    </row>
    <row r="39" ht="12.75">
      <c r="A39" s="228"/>
    </row>
  </sheetData>
  <sheetProtection/>
  <mergeCells count="2">
    <mergeCell ref="A3:B3"/>
    <mergeCell ref="A5:B5"/>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J59"/>
  <sheetViews>
    <sheetView zoomScalePageLayoutView="0" workbookViewId="0" topLeftCell="A1">
      <selection activeCell="B16" sqref="B16"/>
    </sheetView>
  </sheetViews>
  <sheetFormatPr defaultColWidth="9.140625" defaultRowHeight="12.75"/>
  <cols>
    <col min="1" max="1" width="3.00390625" style="215" customWidth="1"/>
    <col min="2" max="2" width="22.8515625" style="215" customWidth="1"/>
    <col min="3" max="3" width="0.5625" style="215" customWidth="1"/>
    <col min="4" max="4" width="0.71875" style="215" customWidth="1"/>
    <col min="5" max="5" width="6.8515625" style="215" customWidth="1"/>
    <col min="6" max="6" width="9.140625" style="215" customWidth="1"/>
    <col min="7" max="7" width="8.57421875" style="215" customWidth="1"/>
    <col min="8" max="8" width="14.140625" style="215" customWidth="1"/>
    <col min="9" max="9" width="9.00390625" style="215" customWidth="1"/>
    <col min="10" max="10" width="14.28125" style="215" customWidth="1"/>
    <col min="11" max="16384" width="9.140625" style="215" customWidth="1"/>
  </cols>
  <sheetData>
    <row r="1" s="205" customFormat="1" ht="102.75" customHeight="1"/>
    <row r="2" spans="1:10" s="206" customFormat="1" ht="15.75">
      <c r="A2" s="1287" t="s">
        <v>218</v>
      </c>
      <c r="B2" s="1287"/>
      <c r="C2" s="1287"/>
      <c r="D2" s="1287"/>
      <c r="E2" s="1287"/>
      <c r="F2" s="1287"/>
      <c r="G2" s="1287"/>
      <c r="H2" s="1287"/>
      <c r="I2" s="1287"/>
      <c r="J2" s="1287"/>
    </row>
    <row r="3" spans="1:10" s="206" customFormat="1" ht="16.5" thickBot="1">
      <c r="A3" s="406"/>
      <c r="B3" s="406"/>
      <c r="C3" s="406"/>
      <c r="D3" s="406"/>
      <c r="E3" s="406"/>
      <c r="F3" s="406"/>
      <c r="G3" s="406"/>
      <c r="H3" s="406"/>
      <c r="I3" s="406"/>
      <c r="J3" s="406"/>
    </row>
    <row r="4" spans="1:10" s="206" customFormat="1" ht="12.75">
      <c r="A4" s="207"/>
      <c r="B4" s="208"/>
      <c r="C4" s="208"/>
      <c r="D4" s="208"/>
      <c r="E4" s="208"/>
      <c r="F4" s="208"/>
      <c r="G4" s="208"/>
      <c r="H4" s="208"/>
      <c r="I4" s="208"/>
      <c r="J4" s="209"/>
    </row>
    <row r="5" spans="1:10" s="206" customFormat="1" ht="12.75">
      <c r="A5" s="210"/>
      <c r="B5" s="211"/>
      <c r="C5" s="211"/>
      <c r="D5" s="211"/>
      <c r="E5" s="211"/>
      <c r="F5" s="211"/>
      <c r="G5" s="211"/>
      <c r="H5" s="211"/>
      <c r="I5" s="211"/>
      <c r="J5" s="212"/>
    </row>
    <row r="6" spans="1:10" ht="12.75">
      <c r="A6" s="210"/>
      <c r="B6" s="213" t="s">
        <v>219</v>
      </c>
      <c r="C6" s="214"/>
      <c r="D6" s="214"/>
      <c r="E6" s="214"/>
      <c r="F6" s="214"/>
      <c r="G6" s="214"/>
      <c r="H6" s="214"/>
      <c r="I6" s="214"/>
      <c r="J6" s="216"/>
    </row>
    <row r="7" spans="1:10" ht="8.25" customHeight="1">
      <c r="A7" s="217"/>
      <c r="B7" s="214"/>
      <c r="C7" s="214"/>
      <c r="D7" s="214"/>
      <c r="E7" s="214"/>
      <c r="F7" s="214"/>
      <c r="G7" s="214"/>
      <c r="H7" s="214"/>
      <c r="I7" s="214"/>
      <c r="J7" s="216"/>
    </row>
    <row r="8" spans="1:10" ht="12.75">
      <c r="A8" s="217"/>
      <c r="B8" s="170" t="s">
        <v>90</v>
      </c>
      <c r="C8" s="214"/>
      <c r="D8" s="214"/>
      <c r="E8" s="214"/>
      <c r="F8" s="214"/>
      <c r="G8" s="214"/>
      <c r="H8" s="214"/>
      <c r="I8" s="214"/>
      <c r="J8" s="218"/>
    </row>
    <row r="9" spans="1:10" ht="12.75">
      <c r="A9" s="217"/>
      <c r="B9" s="214"/>
      <c r="C9" s="214"/>
      <c r="D9" s="214"/>
      <c r="E9" s="214"/>
      <c r="F9" s="214"/>
      <c r="G9" s="214"/>
      <c r="H9" s="214"/>
      <c r="I9" s="214"/>
      <c r="J9" s="216"/>
    </row>
    <row r="10" spans="1:10" ht="12.75">
      <c r="A10" s="217"/>
      <c r="B10" s="213" t="s">
        <v>220</v>
      </c>
      <c r="C10" s="214"/>
      <c r="D10" s="214"/>
      <c r="E10" s="214"/>
      <c r="F10" s="214"/>
      <c r="G10" s="214"/>
      <c r="H10" s="214"/>
      <c r="I10" s="214"/>
      <c r="J10" s="216"/>
    </row>
    <row r="11" spans="1:10" ht="8.25" customHeight="1">
      <c r="A11" s="217"/>
      <c r="B11" s="214"/>
      <c r="C11" s="214"/>
      <c r="D11" s="214"/>
      <c r="E11" s="214"/>
      <c r="F11" s="214"/>
      <c r="G11" s="214"/>
      <c r="H11" s="214"/>
      <c r="I11" s="214"/>
      <c r="J11" s="216"/>
    </row>
    <row r="12" spans="1:10" ht="12.75">
      <c r="A12" s="217"/>
      <c r="B12" s="170" t="s">
        <v>166</v>
      </c>
      <c r="C12" s="214"/>
      <c r="D12" s="214"/>
      <c r="E12" s="214"/>
      <c r="F12" s="214"/>
      <c r="G12" s="214"/>
      <c r="H12" s="214"/>
      <c r="I12" s="214"/>
      <c r="J12" s="218"/>
    </row>
    <row r="13" spans="1:10" ht="12.75">
      <c r="A13" s="217"/>
      <c r="B13" s="214"/>
      <c r="C13" s="214"/>
      <c r="D13" s="214"/>
      <c r="E13" s="214"/>
      <c r="F13" s="214"/>
      <c r="G13" s="214"/>
      <c r="H13" s="214"/>
      <c r="I13" s="214"/>
      <c r="J13" s="216"/>
    </row>
    <row r="14" spans="1:10" ht="12.75">
      <c r="A14" s="217"/>
      <c r="B14" s="213" t="s">
        <v>222</v>
      </c>
      <c r="C14" s="214"/>
      <c r="D14" s="214"/>
      <c r="E14" s="214"/>
      <c r="F14" s="214"/>
      <c r="G14" s="214"/>
      <c r="H14" s="214"/>
      <c r="I14" s="214"/>
      <c r="J14" s="216"/>
    </row>
    <row r="15" spans="1:10" ht="8.25" customHeight="1">
      <c r="A15" s="217"/>
      <c r="B15" s="214"/>
      <c r="C15" s="214"/>
      <c r="D15" s="214"/>
      <c r="E15" s="214"/>
      <c r="F15" s="214"/>
      <c r="G15" s="214"/>
      <c r="H15" s="214"/>
      <c r="I15" s="214"/>
      <c r="J15" s="216"/>
    </row>
    <row r="16" spans="1:10" ht="12.75">
      <c r="A16" s="217"/>
      <c r="B16" s="170" t="s">
        <v>167</v>
      </c>
      <c r="C16" s="214"/>
      <c r="D16" s="214"/>
      <c r="E16" s="214"/>
      <c r="F16" s="214"/>
      <c r="G16" s="214"/>
      <c r="H16" s="214"/>
      <c r="I16" s="214"/>
      <c r="J16" s="218"/>
    </row>
    <row r="17" spans="1:10" ht="12.75">
      <c r="A17" s="217"/>
      <c r="B17" s="214"/>
      <c r="C17" s="214"/>
      <c r="D17" s="214"/>
      <c r="E17" s="214"/>
      <c r="F17" s="214"/>
      <c r="G17" s="214"/>
      <c r="H17" s="214"/>
      <c r="I17" s="214"/>
      <c r="J17" s="216"/>
    </row>
    <row r="18" spans="1:10" ht="12.75">
      <c r="A18" s="217"/>
      <c r="B18" s="213" t="s">
        <v>223</v>
      </c>
      <c r="C18" s="214"/>
      <c r="D18" s="214"/>
      <c r="E18" s="214"/>
      <c r="F18" s="214"/>
      <c r="G18" s="214"/>
      <c r="H18" s="214"/>
      <c r="I18" s="214"/>
      <c r="J18" s="216"/>
    </row>
    <row r="19" spans="1:10" ht="8.25" customHeight="1">
      <c r="A19" s="217"/>
      <c r="B19" s="170"/>
      <c r="C19" s="214"/>
      <c r="D19" s="214"/>
      <c r="E19" s="214"/>
      <c r="F19" s="214"/>
      <c r="G19" s="214"/>
      <c r="H19" s="214"/>
      <c r="I19" s="214"/>
      <c r="J19" s="216"/>
    </row>
    <row r="20" spans="1:10" ht="12.75">
      <c r="A20" s="217"/>
      <c r="B20" s="170" t="s">
        <v>221</v>
      </c>
      <c r="C20" s="214"/>
      <c r="D20" s="214"/>
      <c r="E20" s="214"/>
      <c r="F20" s="214"/>
      <c r="G20" s="214"/>
      <c r="H20" s="214"/>
      <c r="I20" s="214"/>
      <c r="J20" s="218"/>
    </row>
    <row r="21" spans="1:10" ht="12.75">
      <c r="A21" s="217"/>
      <c r="B21" s="170" t="s">
        <v>238</v>
      </c>
      <c r="C21" s="214"/>
      <c r="D21" s="214"/>
      <c r="E21" s="214"/>
      <c r="F21" s="214"/>
      <c r="G21" s="214"/>
      <c r="H21" s="214"/>
      <c r="I21" s="214"/>
      <c r="J21" s="218"/>
    </row>
    <row r="22" spans="1:10" ht="12.75">
      <c r="A22" s="217"/>
      <c r="B22" s="170" t="s">
        <v>947</v>
      </c>
      <c r="C22" s="214"/>
      <c r="D22" s="214"/>
      <c r="E22" s="214"/>
      <c r="F22" s="214"/>
      <c r="G22" s="214"/>
      <c r="H22" s="214"/>
      <c r="I22" s="214"/>
      <c r="J22" s="218"/>
    </row>
    <row r="23" spans="1:10" ht="12.75">
      <c r="A23" s="217"/>
      <c r="B23" s="170" t="s">
        <v>239</v>
      </c>
      <c r="C23" s="214"/>
      <c r="D23" s="214"/>
      <c r="E23" s="214"/>
      <c r="F23" s="214"/>
      <c r="G23" s="214"/>
      <c r="H23" s="214"/>
      <c r="I23" s="214"/>
      <c r="J23" s="218"/>
    </row>
    <row r="24" spans="1:10" ht="12.75">
      <c r="A24" s="217"/>
      <c r="B24" s="170" t="s">
        <v>760</v>
      </c>
      <c r="C24" s="214"/>
      <c r="D24" s="214"/>
      <c r="E24" s="214"/>
      <c r="F24" s="214"/>
      <c r="G24" s="214"/>
      <c r="H24" s="214"/>
      <c r="I24" s="214"/>
      <c r="J24" s="218"/>
    </row>
    <row r="25" spans="1:10" ht="12.75">
      <c r="A25" s="217"/>
      <c r="B25" s="170" t="s">
        <v>240</v>
      </c>
      <c r="C25" s="214"/>
      <c r="D25" s="214"/>
      <c r="E25" s="214"/>
      <c r="F25" s="214"/>
      <c r="G25" s="214"/>
      <c r="H25" s="214"/>
      <c r="I25" s="214"/>
      <c r="J25" s="218"/>
    </row>
    <row r="26" spans="1:10" ht="12.75">
      <c r="A26" s="217"/>
      <c r="B26" s="170" t="s">
        <v>241</v>
      </c>
      <c r="C26" s="214"/>
      <c r="D26" s="214"/>
      <c r="E26" s="214"/>
      <c r="F26" s="214"/>
      <c r="G26" s="214"/>
      <c r="H26" s="219"/>
      <c r="I26" s="214"/>
      <c r="J26" s="218"/>
    </row>
    <row r="27" spans="1:10" ht="12.75">
      <c r="A27" s="217"/>
      <c r="B27" s="170" t="s">
        <v>242</v>
      </c>
      <c r="C27" s="214"/>
      <c r="D27" s="214"/>
      <c r="E27" s="214"/>
      <c r="F27" s="214"/>
      <c r="G27" s="214"/>
      <c r="H27" s="214"/>
      <c r="I27" s="214"/>
      <c r="J27" s="218"/>
    </row>
    <row r="28" spans="1:10" ht="12.75">
      <c r="A28" s="217"/>
      <c r="B28" s="170" t="s">
        <v>243</v>
      </c>
      <c r="C28" s="214"/>
      <c r="D28" s="214"/>
      <c r="E28" s="214"/>
      <c r="F28" s="214"/>
      <c r="G28" s="214"/>
      <c r="H28" s="214"/>
      <c r="I28" s="214"/>
      <c r="J28" s="218"/>
    </row>
    <row r="29" spans="1:10" ht="12.75">
      <c r="A29" s="217"/>
      <c r="B29" s="214"/>
      <c r="C29" s="214"/>
      <c r="D29" s="214"/>
      <c r="E29" s="214"/>
      <c r="F29" s="214"/>
      <c r="G29" s="214"/>
      <c r="H29" s="214"/>
      <c r="I29" s="214"/>
      <c r="J29" s="216"/>
    </row>
    <row r="30" spans="1:10" ht="12.75">
      <c r="A30" s="217"/>
      <c r="B30" s="213" t="s">
        <v>224</v>
      </c>
      <c r="C30" s="214"/>
      <c r="D30" s="214"/>
      <c r="E30" s="214"/>
      <c r="F30" s="214"/>
      <c r="G30" s="214"/>
      <c r="H30" s="214"/>
      <c r="I30" s="214"/>
      <c r="J30" s="216"/>
    </row>
    <row r="31" spans="1:10" ht="8.25" customHeight="1">
      <c r="A31" s="217"/>
      <c r="B31" s="214"/>
      <c r="C31" s="214"/>
      <c r="D31" s="214"/>
      <c r="E31" s="214"/>
      <c r="F31" s="214"/>
      <c r="G31" s="214"/>
      <c r="H31" s="214"/>
      <c r="I31" s="214"/>
      <c r="J31" s="216"/>
    </row>
    <row r="32" spans="1:10" ht="12.75">
      <c r="A32" s="217"/>
      <c r="B32" s="220">
        <v>4</v>
      </c>
      <c r="C32" s="214"/>
      <c r="D32" s="214"/>
      <c r="E32" s="214"/>
      <c r="F32" s="214"/>
      <c r="G32" s="214"/>
      <c r="H32" s="214"/>
      <c r="I32" s="214"/>
      <c r="J32" s="216"/>
    </row>
    <row r="33" spans="1:10" ht="12.75">
      <c r="A33" s="217"/>
      <c r="B33" s="214"/>
      <c r="C33" s="214"/>
      <c r="D33" s="214"/>
      <c r="E33" s="214"/>
      <c r="F33" s="214"/>
      <c r="G33" s="214"/>
      <c r="H33" s="214"/>
      <c r="I33" s="214"/>
      <c r="J33" s="216"/>
    </row>
    <row r="34" spans="1:10" ht="12.75">
      <c r="A34" s="217"/>
      <c r="B34" s="213" t="s">
        <v>225</v>
      </c>
      <c r="C34" s="214"/>
      <c r="D34" s="214"/>
      <c r="E34" s="214"/>
      <c r="F34" s="214"/>
      <c r="G34" s="214"/>
      <c r="H34" s="214"/>
      <c r="I34" s="214"/>
      <c r="J34" s="216"/>
    </row>
    <row r="35" spans="1:10" ht="8.25" customHeight="1">
      <c r="A35" s="217"/>
      <c r="B35" s="214"/>
      <c r="C35" s="214"/>
      <c r="D35" s="214"/>
      <c r="E35" s="214"/>
      <c r="F35" s="214"/>
      <c r="G35" s="214"/>
      <c r="H35" s="214"/>
      <c r="I35" s="214"/>
      <c r="J35" s="216"/>
    </row>
    <row r="36" spans="1:10" ht="12.75">
      <c r="A36" s="217"/>
      <c r="B36" s="214" t="s">
        <v>846</v>
      </c>
      <c r="C36" s="214"/>
      <c r="D36" s="214"/>
      <c r="E36" s="214"/>
      <c r="F36" s="214"/>
      <c r="G36" s="214"/>
      <c r="H36" s="214"/>
      <c r="I36" s="214"/>
      <c r="J36" s="216"/>
    </row>
    <row r="37" spans="1:10" ht="8.25" customHeight="1">
      <c r="A37" s="217"/>
      <c r="B37" s="214"/>
      <c r="C37" s="214"/>
      <c r="D37" s="214"/>
      <c r="E37" s="214"/>
      <c r="F37" s="214"/>
      <c r="G37" s="214"/>
      <c r="H37" s="214"/>
      <c r="I37" s="214"/>
      <c r="J37" s="216"/>
    </row>
    <row r="38" spans="1:10" ht="12.75">
      <c r="A38" s="217"/>
      <c r="B38" s="213" t="s">
        <v>226</v>
      </c>
      <c r="C38" s="214"/>
      <c r="D38" s="214"/>
      <c r="E38" s="214"/>
      <c r="F38" s="214"/>
      <c r="G38" s="214"/>
      <c r="H38" s="214"/>
      <c r="I38" s="214"/>
      <c r="J38" s="216"/>
    </row>
    <row r="39" spans="1:10" ht="8.25" customHeight="1">
      <c r="A39" s="217"/>
      <c r="B39" s="214"/>
      <c r="C39" s="214"/>
      <c r="D39" s="214"/>
      <c r="E39" s="214"/>
      <c r="F39" s="214"/>
      <c r="G39" s="214"/>
      <c r="H39" s="214"/>
      <c r="I39" s="214"/>
      <c r="J39" s="216"/>
    </row>
    <row r="40" spans="1:10" ht="12.75">
      <c r="A40" s="217"/>
      <c r="B40" s="214" t="s">
        <v>227</v>
      </c>
      <c r="C40" s="214"/>
      <c r="D40" s="214"/>
      <c r="E40" s="214"/>
      <c r="F40" s="214"/>
      <c r="G40" s="214"/>
      <c r="H40" s="214"/>
      <c r="I40" s="214"/>
      <c r="J40" s="216"/>
    </row>
    <row r="41" spans="1:10" ht="12.75">
      <c r="A41" s="217"/>
      <c r="B41" s="214"/>
      <c r="C41" s="214"/>
      <c r="D41" s="214"/>
      <c r="E41" s="214"/>
      <c r="F41" s="214"/>
      <c r="G41" s="214"/>
      <c r="H41" s="214"/>
      <c r="I41" s="214"/>
      <c r="J41" s="216"/>
    </row>
    <row r="42" spans="1:10" ht="12.75">
      <c r="A42" s="217"/>
      <c r="B42" s="213" t="s">
        <v>228</v>
      </c>
      <c r="C42" s="214"/>
      <c r="D42" s="214"/>
      <c r="E42" s="214"/>
      <c r="F42" s="214"/>
      <c r="G42" s="214"/>
      <c r="H42" s="214"/>
      <c r="I42" s="214"/>
      <c r="J42" s="216"/>
    </row>
    <row r="43" spans="1:10" ht="8.25" customHeight="1">
      <c r="A43" s="217"/>
      <c r="B43" s="214"/>
      <c r="C43" s="214"/>
      <c r="D43" s="214"/>
      <c r="E43" s="214"/>
      <c r="F43" s="214"/>
      <c r="G43" s="214"/>
      <c r="H43" s="214"/>
      <c r="I43" s="214"/>
      <c r="J43" s="216"/>
    </row>
    <row r="44" spans="1:10" ht="12.75">
      <c r="A44" s="217"/>
      <c r="B44" s="214" t="s">
        <v>229</v>
      </c>
      <c r="C44" s="214"/>
      <c r="D44" s="214"/>
      <c r="E44" s="214" t="s">
        <v>230</v>
      </c>
      <c r="F44" s="214"/>
      <c r="G44" s="214" t="s">
        <v>231</v>
      </c>
      <c r="H44" s="214"/>
      <c r="I44" s="214"/>
      <c r="J44" s="216"/>
    </row>
    <row r="45" spans="1:10" ht="12.75">
      <c r="A45" s="217"/>
      <c r="B45" s="214" t="s">
        <v>232</v>
      </c>
      <c r="C45" s="214"/>
      <c r="D45" s="214"/>
      <c r="E45" s="214" t="s">
        <v>233</v>
      </c>
      <c r="F45" s="214"/>
      <c r="G45" s="214" t="s">
        <v>234</v>
      </c>
      <c r="H45" s="214"/>
      <c r="I45" s="214"/>
      <c r="J45" s="216"/>
    </row>
    <row r="46" spans="1:10" ht="12.75">
      <c r="A46" s="217"/>
      <c r="B46" s="220" t="s">
        <v>233</v>
      </c>
      <c r="C46" s="214"/>
      <c r="D46" s="214"/>
      <c r="E46" s="220">
        <v>1740</v>
      </c>
      <c r="F46" s="214"/>
      <c r="G46" s="214"/>
      <c r="H46" s="214"/>
      <c r="I46" s="214"/>
      <c r="J46" s="216"/>
    </row>
    <row r="47" spans="1:10" ht="12.75">
      <c r="A47" s="217"/>
      <c r="B47" s="220">
        <v>1739</v>
      </c>
      <c r="C47" s="214"/>
      <c r="D47" s="214"/>
      <c r="E47" s="214"/>
      <c r="F47" s="214"/>
      <c r="G47" s="214"/>
      <c r="H47" s="214"/>
      <c r="I47" s="214"/>
      <c r="J47" s="216"/>
    </row>
    <row r="48" spans="1:10" ht="12.75">
      <c r="A48" s="217"/>
      <c r="B48" s="214"/>
      <c r="C48" s="214"/>
      <c r="D48" s="214"/>
      <c r="E48" s="214"/>
      <c r="F48" s="214"/>
      <c r="G48" s="214"/>
      <c r="H48" s="214"/>
      <c r="I48" s="214"/>
      <c r="J48" s="216"/>
    </row>
    <row r="49" spans="1:10" ht="12.75">
      <c r="A49" s="217"/>
      <c r="B49" s="213" t="s">
        <v>235</v>
      </c>
      <c r="C49" s="214"/>
      <c r="D49" s="214"/>
      <c r="E49" s="214"/>
      <c r="F49" s="214"/>
      <c r="G49" s="214"/>
      <c r="H49" s="214"/>
      <c r="I49" s="214"/>
      <c r="J49" s="216"/>
    </row>
    <row r="50" spans="1:10" ht="8.25" customHeight="1">
      <c r="A50" s="217"/>
      <c r="B50" s="214"/>
      <c r="C50" s="214"/>
      <c r="D50" s="214"/>
      <c r="E50" s="214"/>
      <c r="F50" s="214"/>
      <c r="G50" s="214"/>
      <c r="H50" s="214"/>
      <c r="I50" s="214"/>
      <c r="J50" s="216"/>
    </row>
    <row r="51" spans="1:10" ht="11.25" customHeight="1">
      <c r="A51" s="217"/>
      <c r="B51" s="214" t="s">
        <v>245</v>
      </c>
      <c r="C51" s="214"/>
      <c r="D51" s="214"/>
      <c r="E51" s="214"/>
      <c r="F51" s="214"/>
      <c r="G51" s="214"/>
      <c r="H51" s="214"/>
      <c r="I51" s="214"/>
      <c r="J51" s="216"/>
    </row>
    <row r="52" spans="1:10" ht="12.75">
      <c r="A52" s="217"/>
      <c r="B52" s="214"/>
      <c r="C52" s="214"/>
      <c r="D52" s="214"/>
      <c r="E52" s="214"/>
      <c r="F52" s="214"/>
      <c r="G52" s="214"/>
      <c r="H52" s="214"/>
      <c r="I52" s="214"/>
      <c r="J52" s="216"/>
    </row>
    <row r="53" spans="1:10" ht="12.75">
      <c r="A53" s="217"/>
      <c r="B53" s="213" t="s">
        <v>236</v>
      </c>
      <c r="C53" s="214"/>
      <c r="D53" s="214"/>
      <c r="E53" s="214"/>
      <c r="F53" s="214"/>
      <c r="G53" s="214"/>
      <c r="H53" s="214"/>
      <c r="I53" s="214"/>
      <c r="J53" s="216"/>
    </row>
    <row r="54" spans="1:10" ht="8.25" customHeight="1">
      <c r="A54" s="217"/>
      <c r="B54" s="214"/>
      <c r="C54" s="214"/>
      <c r="D54" s="214"/>
      <c r="E54" s="214"/>
      <c r="F54" s="214"/>
      <c r="G54" s="214"/>
      <c r="H54" s="214"/>
      <c r="I54" s="214"/>
      <c r="J54" s="216"/>
    </row>
    <row r="55" spans="1:10" ht="11.25" customHeight="1">
      <c r="A55" s="217"/>
      <c r="B55" s="214"/>
      <c r="C55" s="214"/>
      <c r="D55" s="214"/>
      <c r="E55" s="214"/>
      <c r="F55" s="214"/>
      <c r="G55" s="214"/>
      <c r="H55" s="214"/>
      <c r="I55" s="214"/>
      <c r="J55" s="216"/>
    </row>
    <row r="56" spans="1:10" ht="12.75">
      <c r="A56" s="217"/>
      <c r="B56" s="214" t="s">
        <v>244</v>
      </c>
      <c r="C56" s="214"/>
      <c r="D56" s="214"/>
      <c r="E56" s="214"/>
      <c r="F56" s="214"/>
      <c r="G56" s="214"/>
      <c r="H56" s="214"/>
      <c r="I56" s="214"/>
      <c r="J56" s="216"/>
    </row>
    <row r="57" spans="1:10" ht="13.5" thickBot="1">
      <c r="A57" s="221"/>
      <c r="B57" s="222"/>
      <c r="C57" s="222"/>
      <c r="D57" s="222"/>
      <c r="E57" s="222"/>
      <c r="F57" s="222"/>
      <c r="G57" s="222"/>
      <c r="H57" s="222"/>
      <c r="I57" s="222"/>
      <c r="J57" s="223"/>
    </row>
    <row r="59" s="1226" customFormat="1" ht="12.75">
      <c r="G59" s="1227" t="s">
        <v>154</v>
      </c>
    </row>
  </sheetData>
  <sheetProtection/>
  <mergeCells count="1">
    <mergeCell ref="A2:J2"/>
  </mergeCells>
  <printOptions horizontalCentered="1"/>
  <pageMargins left="0.7480314960629921" right="0.7480314960629921" top="0.984251968503937" bottom="0.7874015748031497" header="0.5118110236220472" footer="0.5118110236220472"/>
  <pageSetup fitToHeight="1" fitToWidth="1" horizontalDpi="600" verticalDpi="600" orientation="portrait" paperSize="9" scale="95" r:id="rId2"/>
  <headerFooter alignWithMargins="0">
    <oddHeader>&amp;C&amp;G</oddHeader>
    <oddFooter>&amp;C&amp;"Arial,Bold"&amp;9-  1  -</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AO64"/>
  <sheetViews>
    <sheetView zoomScalePageLayoutView="0" workbookViewId="0" topLeftCell="A32">
      <selection activeCell="F60" sqref="F60"/>
    </sheetView>
  </sheetViews>
  <sheetFormatPr defaultColWidth="9.140625" defaultRowHeight="12.75"/>
  <cols>
    <col min="1" max="1" width="36.00390625" style="215" customWidth="1"/>
    <col min="2" max="2" width="6.421875" style="245" customWidth="1"/>
    <col min="3" max="3" width="1.28515625" style="215" customWidth="1"/>
    <col min="4" max="4" width="15.8515625" style="215" customWidth="1"/>
    <col min="5" max="5" width="1.28515625" style="215" customWidth="1"/>
    <col min="6" max="6" width="15.8515625" style="215" customWidth="1"/>
    <col min="7" max="7" width="1.57421875" style="214" customWidth="1"/>
    <col min="8" max="8" width="15.8515625" style="215" hidden="1" customWidth="1"/>
    <col min="9" max="9" width="2.421875" style="214" hidden="1" customWidth="1"/>
    <col min="10" max="10" width="15.28125" style="215" customWidth="1"/>
    <col min="11" max="11" width="6.140625" style="215" customWidth="1"/>
    <col min="12" max="12" width="9.57421875" style="215" customWidth="1"/>
    <col min="13" max="13" width="17.28125" style="232" bestFit="1" customWidth="1"/>
    <col min="14" max="14" width="33.28125" style="215" customWidth="1"/>
    <col min="15" max="15" width="9.140625" style="215" customWidth="1"/>
    <col min="16" max="16" width="20.140625" style="232" customWidth="1"/>
    <col min="17" max="17" width="14.57421875" style="215" customWidth="1"/>
    <col min="18" max="38" width="9.140625" style="215" customWidth="1"/>
    <col min="39" max="39" width="10.00390625" style="215" bestFit="1" customWidth="1"/>
    <col min="40" max="40" width="12.28125" style="215" bestFit="1" customWidth="1"/>
    <col min="41" max="16384" width="9.140625" style="215" customWidth="1"/>
  </cols>
  <sheetData>
    <row r="1" spans="2:16" s="205" customFormat="1" ht="114" customHeight="1">
      <c r="B1" s="230"/>
      <c r="G1" s="472"/>
      <c r="I1" s="472"/>
      <c r="M1" s="231"/>
      <c r="P1" s="231"/>
    </row>
    <row r="2" spans="1:11" ht="15.75">
      <c r="A2" s="1288" t="s">
        <v>568</v>
      </c>
      <c r="B2" s="1288"/>
      <c r="C2" s="1288"/>
      <c r="D2" s="1288"/>
      <c r="E2" s="1288"/>
      <c r="F2" s="1288"/>
      <c r="G2" s="1288"/>
      <c r="H2" s="1288"/>
      <c r="I2" s="1288"/>
      <c r="K2" s="214"/>
    </row>
    <row r="3" spans="1:11" ht="13.5" thickBot="1">
      <c r="A3" s="235"/>
      <c r="B3" s="235"/>
      <c r="C3" s="235"/>
      <c r="D3" s="235"/>
      <c r="E3" s="235"/>
      <c r="F3" s="235"/>
      <c r="G3" s="235"/>
      <c r="H3" s="235"/>
      <c r="I3" s="235"/>
      <c r="K3" s="214"/>
    </row>
    <row r="4" spans="1:11" ht="12.75">
      <c r="A4" s="409"/>
      <c r="B4" s="410" t="s">
        <v>1599</v>
      </c>
      <c r="C4" s="411"/>
      <c r="D4" s="425">
        <v>2009</v>
      </c>
      <c r="E4" s="468"/>
      <c r="F4" s="425">
        <v>2008</v>
      </c>
      <c r="G4" s="478"/>
      <c r="H4" s="476">
        <v>2005</v>
      </c>
      <c r="I4" s="477"/>
      <c r="J4" s="215" t="s">
        <v>1600</v>
      </c>
      <c r="K4" s="214"/>
    </row>
    <row r="5" spans="1:13" ht="12.75">
      <c r="A5" s="217"/>
      <c r="B5" s="233"/>
      <c r="C5" s="407"/>
      <c r="D5" s="251" t="s">
        <v>1186</v>
      </c>
      <c r="E5" s="234"/>
      <c r="F5" s="251" t="s">
        <v>1186</v>
      </c>
      <c r="G5" s="479"/>
      <c r="H5" s="235" t="s">
        <v>1186</v>
      </c>
      <c r="I5" s="216"/>
      <c r="K5" s="214"/>
      <c r="M5" s="236" t="s">
        <v>850</v>
      </c>
    </row>
    <row r="6" spans="1:13" ht="12.75">
      <c r="A6" s="412" t="s">
        <v>1601</v>
      </c>
      <c r="B6" s="233"/>
      <c r="C6" s="407"/>
      <c r="D6" s="214"/>
      <c r="E6" s="214"/>
      <c r="F6" s="214"/>
      <c r="G6" s="216"/>
      <c r="H6" s="214"/>
      <c r="I6" s="216"/>
      <c r="K6" s="213"/>
      <c r="M6" s="232" t="s">
        <v>851</v>
      </c>
    </row>
    <row r="7" spans="1:11" ht="12.75">
      <c r="A7" s="217"/>
      <c r="B7" s="233"/>
      <c r="C7" s="407"/>
      <c r="D7" s="214"/>
      <c r="E7" s="214"/>
      <c r="F7" s="214"/>
      <c r="G7" s="216"/>
      <c r="H7" s="214"/>
      <c r="I7" s="216"/>
      <c r="K7" s="214" t="s">
        <v>1156</v>
      </c>
    </row>
    <row r="8" spans="1:14" ht="12.75">
      <c r="A8" s="412" t="s">
        <v>1602</v>
      </c>
      <c r="B8" s="233"/>
      <c r="C8" s="407"/>
      <c r="D8" s="465">
        <f>SUM(D9:D14)</f>
        <v>5183697260</v>
      </c>
      <c r="E8" s="213"/>
      <c r="F8" s="465">
        <f>SUM(F9:F14)</f>
        <v>132035329</v>
      </c>
      <c r="G8" s="480"/>
      <c r="H8" s="237">
        <f>SUM(H9:H14)</f>
        <v>-90173473</v>
      </c>
      <c r="I8" s="216"/>
      <c r="K8" s="213"/>
      <c r="N8" s="144" t="s">
        <v>140</v>
      </c>
    </row>
    <row r="9" spans="1:11" ht="12.75" hidden="1">
      <c r="A9" s="217" t="s">
        <v>1173</v>
      </c>
      <c r="B9" s="233"/>
      <c r="C9" s="407"/>
      <c r="D9" s="238">
        <v>0</v>
      </c>
      <c r="E9" s="407"/>
      <c r="F9" s="473">
        <v>0</v>
      </c>
      <c r="G9" s="481"/>
      <c r="H9" s="469">
        <v>0</v>
      </c>
      <c r="I9" s="216"/>
      <c r="K9" s="214">
        <v>4001</v>
      </c>
    </row>
    <row r="10" spans="1:11" ht="12.75" hidden="1">
      <c r="A10" s="217" t="s">
        <v>1174</v>
      </c>
      <c r="B10" s="233"/>
      <c r="C10" s="407"/>
      <c r="D10" s="238">
        <v>0</v>
      </c>
      <c r="E10" s="407"/>
      <c r="F10" s="474">
        <v>0</v>
      </c>
      <c r="G10" s="481"/>
      <c r="H10" s="469">
        <v>12488970</v>
      </c>
      <c r="I10" s="216"/>
      <c r="K10" s="214">
        <v>4002</v>
      </c>
    </row>
    <row r="11" spans="1:15" ht="12.75">
      <c r="A11" s="217" t="s">
        <v>1175</v>
      </c>
      <c r="B11" s="233"/>
      <c r="C11" s="407"/>
      <c r="D11" s="239">
        <f>'Grap Appr'!E40</f>
        <v>211463198</v>
      </c>
      <c r="E11" s="407"/>
      <c r="F11" s="238">
        <f>'Grap Appr'!E30</f>
        <v>150669305</v>
      </c>
      <c r="G11" s="481"/>
      <c r="H11" s="237">
        <v>48628513</v>
      </c>
      <c r="I11" s="216"/>
      <c r="K11" s="214">
        <v>4004</v>
      </c>
      <c r="M11" s="232">
        <f>F11-D11</f>
        <v>-60793893</v>
      </c>
      <c r="O11" s="215" t="s">
        <v>533</v>
      </c>
    </row>
    <row r="12" spans="1:11" ht="12.75" customHeight="1">
      <c r="A12" s="217" t="s">
        <v>1177</v>
      </c>
      <c r="B12" s="233"/>
      <c r="C12" s="407"/>
      <c r="D12" s="239">
        <f>'Grap Appr'!C40</f>
        <v>4813979695</v>
      </c>
      <c r="E12" s="407"/>
      <c r="F12" s="239">
        <v>0</v>
      </c>
      <c r="G12" s="481"/>
      <c r="H12" s="237">
        <v>0</v>
      </c>
      <c r="I12" s="216"/>
      <c r="K12" s="214">
        <v>4007</v>
      </c>
    </row>
    <row r="13" spans="1:11" ht="12.75">
      <c r="A13" s="147" t="s">
        <v>679</v>
      </c>
      <c r="B13" s="233"/>
      <c r="C13" s="407"/>
      <c r="D13" s="239">
        <f>'Grap Appr'!D40</f>
        <v>-3185391</v>
      </c>
      <c r="E13" s="407"/>
      <c r="F13" s="239">
        <f>'Grap Appr'!D30</f>
        <v>-8501248</v>
      </c>
      <c r="G13" s="481"/>
      <c r="H13" s="237"/>
      <c r="I13" s="216"/>
      <c r="K13" s="214"/>
    </row>
    <row r="14" spans="1:17" ht="12.75">
      <c r="A14" s="217" t="s">
        <v>1082</v>
      </c>
      <c r="B14" s="233"/>
      <c r="C14" s="407"/>
      <c r="D14" s="240">
        <f>'Grap Appr'!H40</f>
        <v>161439758</v>
      </c>
      <c r="E14" s="407"/>
      <c r="F14" s="146">
        <f>'Grap Appr'!H30</f>
        <v>-10132728</v>
      </c>
      <c r="G14" s="481"/>
      <c r="H14" s="470">
        <f>-148964012+1260-2328204</f>
        <v>-151290956</v>
      </c>
      <c r="I14" s="216"/>
      <c r="J14" s="215" t="s">
        <v>1603</v>
      </c>
      <c r="K14" s="214">
        <v>4008</v>
      </c>
      <c r="M14" s="232">
        <f>F14-D14</f>
        <v>-171572486</v>
      </c>
      <c r="N14" s="215" t="s">
        <v>368</v>
      </c>
      <c r="O14" s="215" t="s">
        <v>533</v>
      </c>
      <c r="Q14" s="241"/>
    </row>
    <row r="15" spans="1:14" ht="12.75">
      <c r="A15" s="217"/>
      <c r="B15" s="233"/>
      <c r="C15" s="407"/>
      <c r="D15" s="237"/>
      <c r="E15" s="214"/>
      <c r="F15" s="237"/>
      <c r="G15" s="481"/>
      <c r="H15" s="237"/>
      <c r="I15" s="216"/>
      <c r="K15" s="214"/>
      <c r="N15" s="215" t="s">
        <v>535</v>
      </c>
    </row>
    <row r="16" spans="1:11" ht="12.75">
      <c r="A16" s="412" t="s">
        <v>1604</v>
      </c>
      <c r="B16" s="233"/>
      <c r="C16" s="407"/>
      <c r="D16" s="466">
        <f>SUM(D17:D18)</f>
        <v>259712270</v>
      </c>
      <c r="E16" s="213"/>
      <c r="F16" s="466">
        <f>SUM(F17:F18)</f>
        <v>249201024</v>
      </c>
      <c r="G16" s="480"/>
      <c r="H16" s="237" t="e">
        <f>SUM(H17:H18)</f>
        <v>#REF!</v>
      </c>
      <c r="I16" s="216"/>
      <c r="K16" s="213"/>
    </row>
    <row r="17" spans="1:15" ht="12.75">
      <c r="A17" s="217" t="s">
        <v>889</v>
      </c>
      <c r="B17" s="233">
        <v>1</v>
      </c>
      <c r="C17" s="407"/>
      <c r="D17" s="238">
        <f>'Notes (2)'!G19</f>
        <v>166036002</v>
      </c>
      <c r="E17" s="407"/>
      <c r="F17" s="238">
        <f>'Notes (2)'!I19</f>
        <v>177328258</v>
      </c>
      <c r="G17" s="481"/>
      <c r="H17" s="469" t="e">
        <f>'Notes (2)'!#REF!</f>
        <v>#REF!</v>
      </c>
      <c r="I17" s="216"/>
      <c r="K17" s="214">
        <v>4201</v>
      </c>
      <c r="M17" s="232">
        <f>F17-D17</f>
        <v>11292256</v>
      </c>
      <c r="O17" s="215" t="s">
        <v>533</v>
      </c>
    </row>
    <row r="18" spans="1:15" ht="12.75">
      <c r="A18" s="217" t="s">
        <v>1607</v>
      </c>
      <c r="B18" s="233">
        <v>2</v>
      </c>
      <c r="C18" s="407"/>
      <c r="D18" s="240">
        <f>'Notes (2)'!G140</f>
        <v>93676268</v>
      </c>
      <c r="E18" s="407"/>
      <c r="F18" s="240">
        <f>'Notes (2)'!I140</f>
        <v>71872766</v>
      </c>
      <c r="G18" s="481"/>
      <c r="H18" s="470" t="e">
        <f>'Notes (2)'!#REF!</f>
        <v>#REF!</v>
      </c>
      <c r="I18" s="216"/>
      <c r="K18" s="214">
        <v>4202</v>
      </c>
      <c r="M18" s="232">
        <f>F18-D18</f>
        <v>-21803502</v>
      </c>
      <c r="O18" s="215" t="s">
        <v>533</v>
      </c>
    </row>
    <row r="19" spans="1:11" ht="12.75">
      <c r="A19" s="217"/>
      <c r="B19" s="233"/>
      <c r="C19" s="407"/>
      <c r="D19" s="237"/>
      <c r="E19" s="214"/>
      <c r="F19" s="237"/>
      <c r="G19" s="481"/>
      <c r="H19" s="237"/>
      <c r="I19" s="216"/>
      <c r="K19" s="214"/>
    </row>
    <row r="20" spans="1:11" ht="12.75">
      <c r="A20" s="412" t="s">
        <v>1605</v>
      </c>
      <c r="B20" s="233"/>
      <c r="C20" s="407"/>
      <c r="D20" s="466">
        <f>SUM(D21:D27)</f>
        <v>303940449</v>
      </c>
      <c r="E20" s="213"/>
      <c r="F20" s="466">
        <f>SUM(F21:F27)</f>
        <v>307154890</v>
      </c>
      <c r="G20" s="480"/>
      <c r="H20" s="237" t="e">
        <f>SUM(H22:H29)</f>
        <v>#REF!</v>
      </c>
      <c r="I20" s="216"/>
      <c r="K20" s="213"/>
    </row>
    <row r="21" spans="1:41" ht="12.75">
      <c r="A21" s="217" t="s">
        <v>889</v>
      </c>
      <c r="B21" s="233">
        <v>1</v>
      </c>
      <c r="C21" s="407"/>
      <c r="D21" s="238">
        <f>'Notes (2)'!G14</f>
        <v>37785561</v>
      </c>
      <c r="E21" s="214"/>
      <c r="F21" s="238">
        <f>'Notes (2)'!I14</f>
        <v>33814608</v>
      </c>
      <c r="G21" s="481"/>
      <c r="H21" s="470" t="e">
        <f>'Notes (2)'!#REF!</f>
        <v>#REF!</v>
      </c>
      <c r="I21" s="216"/>
      <c r="J21" s="215" t="s">
        <v>1612</v>
      </c>
      <c r="K21" s="214">
        <v>4307</v>
      </c>
      <c r="M21" s="232">
        <f aca="true" t="shared" si="0" ref="M21:M29">D21-F21</f>
        <v>3970953</v>
      </c>
      <c r="O21" s="215" t="s">
        <v>534</v>
      </c>
      <c r="AO21" s="144" t="s">
        <v>1587</v>
      </c>
    </row>
    <row r="22" spans="1:41" ht="12.75">
      <c r="A22" s="217" t="s">
        <v>1606</v>
      </c>
      <c r="B22" s="233">
        <v>3</v>
      </c>
      <c r="C22" s="407"/>
      <c r="D22" s="239">
        <f>'Notes (2)'!G146</f>
        <v>32421595</v>
      </c>
      <c r="E22" s="214"/>
      <c r="F22" s="239">
        <f>'Notes (2)'!I146</f>
        <v>30817227</v>
      </c>
      <c r="G22" s="481"/>
      <c r="H22" s="469" t="e">
        <f>'Notes (2)'!#REF!</f>
        <v>#REF!</v>
      </c>
      <c r="I22" s="216"/>
      <c r="K22" s="214">
        <v>4301</v>
      </c>
      <c r="M22" s="232">
        <f t="shared" si="0"/>
        <v>1604368</v>
      </c>
      <c r="O22" s="215" t="s">
        <v>534</v>
      </c>
      <c r="AO22" s="144" t="s">
        <v>1587</v>
      </c>
    </row>
    <row r="23" spans="1:41" ht="12.75">
      <c r="A23" s="217" t="s">
        <v>1608</v>
      </c>
      <c r="B23" s="233">
        <v>4.1</v>
      </c>
      <c r="C23" s="407"/>
      <c r="D23" s="239">
        <f>'Notes (2)'!G168</f>
        <v>132906684</v>
      </c>
      <c r="E23" s="214"/>
      <c r="F23" s="239">
        <f>'Notes (2)'!I168</f>
        <v>134503776</v>
      </c>
      <c r="G23" s="481"/>
      <c r="H23" s="237" t="e">
        <f>'Notes (2)'!#REF!</f>
        <v>#REF!</v>
      </c>
      <c r="I23" s="216"/>
      <c r="K23" s="214">
        <v>4303</v>
      </c>
      <c r="M23" s="232">
        <f t="shared" si="0"/>
        <v>-1597092</v>
      </c>
      <c r="N23" s="215">
        <f>46652248</f>
        <v>46652248</v>
      </c>
      <c r="O23" s="215" t="s">
        <v>534</v>
      </c>
      <c r="AN23" s="151" t="s">
        <v>1587</v>
      </c>
      <c r="AO23" s="144" t="s">
        <v>1587</v>
      </c>
    </row>
    <row r="24" spans="1:15" ht="12.75">
      <c r="A24" s="217" t="s">
        <v>253</v>
      </c>
      <c r="B24" s="233">
        <v>4.2</v>
      </c>
      <c r="C24" s="407"/>
      <c r="D24" s="239">
        <f>'Notes (2)'!G172</f>
        <v>6088045</v>
      </c>
      <c r="E24" s="214"/>
      <c r="F24" s="239">
        <f>'Notes (2)'!I174</f>
        <v>5467023</v>
      </c>
      <c r="G24" s="481"/>
      <c r="H24" s="237" t="e">
        <f>'Notes (2)'!#REF!</f>
        <v>#REF!</v>
      </c>
      <c r="I24" s="216"/>
      <c r="J24" s="215">
        <v>306746778</v>
      </c>
      <c r="K24" s="214"/>
      <c r="M24" s="232">
        <f t="shared" si="0"/>
        <v>621022</v>
      </c>
      <c r="N24" s="241">
        <f>N23-D14</f>
        <v>-114787510</v>
      </c>
      <c r="O24" s="215" t="s">
        <v>534</v>
      </c>
    </row>
    <row r="25" spans="1:15" ht="12.75">
      <c r="A25" s="217" t="s">
        <v>1083</v>
      </c>
      <c r="B25" s="233">
        <v>5</v>
      </c>
      <c r="C25" s="407"/>
      <c r="D25" s="239">
        <f>'Notes (2)'!G188</f>
        <v>19583702</v>
      </c>
      <c r="E25" s="214"/>
      <c r="F25" s="239">
        <f>'Notes (2)'!I188</f>
        <v>19644313</v>
      </c>
      <c r="G25" s="481"/>
      <c r="H25" s="237" t="e">
        <f>'Notes (2)'!#REF!</f>
        <v>#REF!</v>
      </c>
      <c r="I25" s="216"/>
      <c r="J25" s="241">
        <f>J24-F20</f>
        <v>-408112</v>
      </c>
      <c r="K25" s="214">
        <v>4302</v>
      </c>
      <c r="M25" s="232">
        <f t="shared" si="0"/>
        <v>-60611</v>
      </c>
      <c r="O25" s="215" t="s">
        <v>534</v>
      </c>
    </row>
    <row r="26" spans="1:15" ht="12.75">
      <c r="A26" s="217" t="s">
        <v>193</v>
      </c>
      <c r="B26" s="233">
        <v>6</v>
      </c>
      <c r="C26" s="407"/>
      <c r="D26" s="239">
        <f>'Notes (2)'!G211</f>
        <v>15694726</v>
      </c>
      <c r="E26" s="214"/>
      <c r="F26" s="239">
        <f>'Notes (2)'!I211</f>
        <v>32477811</v>
      </c>
      <c r="G26" s="481"/>
      <c r="H26" s="237" t="e">
        <f>'Notes (2)'!#REF!</f>
        <v>#REF!</v>
      </c>
      <c r="I26" s="216"/>
      <c r="K26" s="214">
        <v>4304</v>
      </c>
      <c r="M26" s="232">
        <f t="shared" si="0"/>
        <v>-16783085</v>
      </c>
      <c r="O26" s="215" t="s">
        <v>534</v>
      </c>
    </row>
    <row r="27" spans="1:15" ht="12" customHeight="1">
      <c r="A27" s="217" t="s">
        <v>1084</v>
      </c>
      <c r="B27" s="233">
        <v>7</v>
      </c>
      <c r="C27" s="407"/>
      <c r="D27" s="240">
        <f>'Notes (2)'!G220</f>
        <v>59460136</v>
      </c>
      <c r="E27" s="214"/>
      <c r="F27" s="146">
        <f>'Notes (2)'!I220</f>
        <v>50430132</v>
      </c>
      <c r="G27" s="481"/>
      <c r="H27" s="237">
        <v>24619201</v>
      </c>
      <c r="I27" s="216"/>
      <c r="K27" s="214">
        <v>4305</v>
      </c>
      <c r="M27" s="232">
        <f t="shared" si="0"/>
        <v>9030004</v>
      </c>
      <c r="O27" s="215" t="s">
        <v>534</v>
      </c>
    </row>
    <row r="28" spans="1:15" ht="12.75" hidden="1">
      <c r="A28" s="217" t="s">
        <v>1609</v>
      </c>
      <c r="B28" s="233">
        <v>9</v>
      </c>
      <c r="C28" s="407"/>
      <c r="D28" s="239">
        <v>0</v>
      </c>
      <c r="E28" s="214"/>
      <c r="F28" s="145">
        <v>0</v>
      </c>
      <c r="G28" s="481"/>
      <c r="H28" s="237">
        <v>0</v>
      </c>
      <c r="I28" s="216"/>
      <c r="K28" s="214">
        <v>4306</v>
      </c>
      <c r="M28" s="232">
        <f t="shared" si="0"/>
        <v>0</v>
      </c>
      <c r="O28" s="215" t="s">
        <v>534</v>
      </c>
    </row>
    <row r="29" spans="1:15" ht="12.75" customHeight="1" hidden="1">
      <c r="A29" s="217" t="s">
        <v>1610</v>
      </c>
      <c r="B29" s="233">
        <v>14</v>
      </c>
      <c r="C29" s="407"/>
      <c r="D29" s="240">
        <v>0</v>
      </c>
      <c r="E29" s="214"/>
      <c r="F29" s="146">
        <v>0</v>
      </c>
      <c r="G29" s="481"/>
      <c r="H29" s="237">
        <v>27045913</v>
      </c>
      <c r="I29" s="216"/>
      <c r="J29" s="215" t="s">
        <v>1611</v>
      </c>
      <c r="K29" s="214">
        <v>4308</v>
      </c>
      <c r="M29" s="232">
        <f t="shared" si="0"/>
        <v>0</v>
      </c>
      <c r="N29" s="241" t="s">
        <v>1587</v>
      </c>
      <c r="O29" s="215" t="s">
        <v>534</v>
      </c>
    </row>
    <row r="30" spans="1:11" ht="12.75">
      <c r="A30" s="217"/>
      <c r="B30" s="233"/>
      <c r="C30" s="407"/>
      <c r="D30" s="237"/>
      <c r="E30" s="214"/>
      <c r="F30" s="269"/>
      <c r="G30" s="481"/>
      <c r="H30" s="237"/>
      <c r="I30" s="216"/>
      <c r="K30" s="214"/>
    </row>
    <row r="31" spans="1:11" ht="13.5" thickBot="1">
      <c r="A31" s="412" t="s">
        <v>965</v>
      </c>
      <c r="B31" s="233"/>
      <c r="C31" s="407"/>
      <c r="D31" s="242">
        <f>D8+D16+D20</f>
        <v>5747349979</v>
      </c>
      <c r="E31" s="408"/>
      <c r="F31" s="467">
        <f>F8+F16+F20</f>
        <v>688391243</v>
      </c>
      <c r="G31" s="480"/>
      <c r="H31" s="471" t="e">
        <f>H20+H16+H8</f>
        <v>#REF!</v>
      </c>
      <c r="I31" s="216"/>
      <c r="K31" s="213"/>
    </row>
    <row r="32" spans="1:14" ht="13.5" thickTop="1">
      <c r="A32" s="217"/>
      <c r="B32" s="233"/>
      <c r="C32" s="407"/>
      <c r="D32" s="237"/>
      <c r="E32" s="214"/>
      <c r="F32" s="237"/>
      <c r="G32" s="481"/>
      <c r="H32" s="237"/>
      <c r="I32" s="216"/>
      <c r="K32" s="214"/>
      <c r="N32" s="151" t="s">
        <v>1587</v>
      </c>
    </row>
    <row r="33" spans="1:11" ht="12.75">
      <c r="A33" s="412" t="s">
        <v>1613</v>
      </c>
      <c r="B33" s="233"/>
      <c r="C33" s="407"/>
      <c r="D33" s="237"/>
      <c r="E33" s="214"/>
      <c r="F33" s="237"/>
      <c r="G33" s="481"/>
      <c r="H33" s="237"/>
      <c r="I33" s="216"/>
      <c r="K33" s="213"/>
    </row>
    <row r="34" spans="1:11" ht="12.75">
      <c r="A34" s="217"/>
      <c r="B34" s="233"/>
      <c r="C34" s="407"/>
      <c r="D34" s="237"/>
      <c r="E34" s="214"/>
      <c r="F34" s="237"/>
      <c r="G34" s="481"/>
      <c r="H34" s="237"/>
      <c r="I34" s="216"/>
      <c r="K34" s="214"/>
    </row>
    <row r="35" spans="1:11" ht="12.75">
      <c r="A35" s="412" t="s">
        <v>1614</v>
      </c>
      <c r="B35" s="233"/>
      <c r="C35" s="407"/>
      <c r="D35" s="466">
        <f>SUM(D36:D40)</f>
        <v>5321037550</v>
      </c>
      <c r="E35" s="213"/>
      <c r="F35" s="466">
        <f>SUM(F36:F40)</f>
        <v>389754871</v>
      </c>
      <c r="G35" s="480"/>
      <c r="H35" s="237" t="e">
        <f>SUM(H36:H40)</f>
        <v>#REF!</v>
      </c>
      <c r="I35" s="216"/>
      <c r="K35" s="213"/>
    </row>
    <row r="36" spans="1:40" ht="12.75">
      <c r="A36" s="217" t="s">
        <v>1616</v>
      </c>
      <c r="B36" s="233">
        <v>8</v>
      </c>
      <c r="C36" s="407"/>
      <c r="D36" s="238">
        <f>'Notes (2)'!G231</f>
        <v>39326607</v>
      </c>
      <c r="E36" s="407"/>
      <c r="F36" s="238">
        <f>'Notes (2)'!I231</f>
        <v>31287638</v>
      </c>
      <c r="G36" s="481"/>
      <c r="H36" s="237" t="e">
        <f>'Notes (2)'!#REF!</f>
        <v>#REF!</v>
      </c>
      <c r="I36" s="216"/>
      <c r="K36" s="214">
        <v>4403</v>
      </c>
      <c r="M36" s="232">
        <f>F36-D36</f>
        <v>-8038969</v>
      </c>
      <c r="O36" s="215" t="s">
        <v>533</v>
      </c>
      <c r="AN36" s="151" t="s">
        <v>1587</v>
      </c>
    </row>
    <row r="37" spans="1:15" ht="12.75">
      <c r="A37" s="217" t="s">
        <v>891</v>
      </c>
      <c r="B37" s="233">
        <v>9</v>
      </c>
      <c r="C37" s="407"/>
      <c r="D37" s="239">
        <f>'Notes (2)'!G249</f>
        <v>99413</v>
      </c>
      <c r="E37" s="407"/>
      <c r="F37" s="239">
        <f>'Notes (2)'!I249</f>
        <v>974912</v>
      </c>
      <c r="G37" s="481"/>
      <c r="H37" s="470">
        <v>11413123</v>
      </c>
      <c r="I37" s="216"/>
      <c r="K37" s="214">
        <v>4404</v>
      </c>
      <c r="M37" s="232">
        <f>F37-D37</f>
        <v>875499</v>
      </c>
      <c r="O37" s="215" t="s">
        <v>533</v>
      </c>
    </row>
    <row r="38" spans="1:41" ht="12.75">
      <c r="A38" s="147" t="s">
        <v>805</v>
      </c>
      <c r="B38" s="233">
        <v>10.1</v>
      </c>
      <c r="C38" s="407"/>
      <c r="D38" s="145">
        <f>'Notes (2)'!G261</f>
        <v>22122894</v>
      </c>
      <c r="E38" s="407"/>
      <c r="F38" s="696">
        <v>0</v>
      </c>
      <c r="G38" s="481"/>
      <c r="H38" s="237"/>
      <c r="I38" s="216"/>
      <c r="K38" s="214"/>
      <c r="Q38" s="243"/>
      <c r="AM38" s="144"/>
      <c r="AN38" s="151"/>
      <c r="AO38" s="151"/>
    </row>
    <row r="39" spans="1:41" ht="12.75">
      <c r="A39" s="217" t="s">
        <v>1615</v>
      </c>
      <c r="B39" s="233">
        <v>10.2</v>
      </c>
      <c r="C39" s="407"/>
      <c r="D39" s="145">
        <f>'GRAP APP B'!R70</f>
        <v>5256411359</v>
      </c>
      <c r="E39" s="407"/>
      <c r="F39" s="145">
        <f>'GRAP APP B'!B70-'GRAP APP B'!J70</f>
        <v>355439261</v>
      </c>
      <c r="G39" s="481"/>
      <c r="H39" s="469">
        <v>204623219</v>
      </c>
      <c r="I39" s="216"/>
      <c r="K39" s="214">
        <v>4401</v>
      </c>
      <c r="L39" s="215" t="s">
        <v>1587</v>
      </c>
      <c r="M39" s="232">
        <f>F39-D39</f>
        <v>-4900972098</v>
      </c>
      <c r="O39" s="215" t="s">
        <v>533</v>
      </c>
      <c r="Q39" s="243"/>
      <c r="AM39" s="144" t="s">
        <v>1587</v>
      </c>
      <c r="AN39" s="151" t="s">
        <v>1587</v>
      </c>
      <c r="AO39" s="151" t="s">
        <v>747</v>
      </c>
    </row>
    <row r="40" spans="1:40" ht="12.75" customHeight="1">
      <c r="A40" s="217" t="s">
        <v>1041</v>
      </c>
      <c r="B40" s="233">
        <v>11</v>
      </c>
      <c r="C40" s="407"/>
      <c r="D40" s="240">
        <f>'Notes (2)'!G284</f>
        <v>3077277</v>
      </c>
      <c r="E40" s="407"/>
      <c r="F40" s="146">
        <f>'Notes (2)'!I284</f>
        <v>2053060</v>
      </c>
      <c r="G40" s="481"/>
      <c r="H40" s="237">
        <v>0</v>
      </c>
      <c r="I40" s="216"/>
      <c r="K40" s="214">
        <v>4402</v>
      </c>
      <c r="M40" s="232">
        <f>F40-D40</f>
        <v>-1024217</v>
      </c>
      <c r="O40" s="215" t="s">
        <v>533</v>
      </c>
      <c r="AN40" s="151" t="s">
        <v>1587</v>
      </c>
    </row>
    <row r="41" spans="1:40" ht="12.75">
      <c r="A41" s="217"/>
      <c r="B41" s="233"/>
      <c r="C41" s="407"/>
      <c r="D41" s="214"/>
      <c r="E41" s="214"/>
      <c r="F41" s="214"/>
      <c r="G41" s="216"/>
      <c r="H41" s="214"/>
      <c r="I41" s="216"/>
      <c r="AN41" s="144" t="s">
        <v>1587</v>
      </c>
    </row>
    <row r="42" spans="1:40" ht="12.75">
      <c r="A42" s="217"/>
      <c r="B42" s="233"/>
      <c r="C42" s="407"/>
      <c r="D42" s="214"/>
      <c r="E42" s="214"/>
      <c r="F42" s="214"/>
      <c r="G42" s="216"/>
      <c r="H42" s="214"/>
      <c r="I42" s="216"/>
      <c r="AN42" s="151" t="s">
        <v>1587</v>
      </c>
    </row>
    <row r="43" spans="1:40" ht="12.75">
      <c r="A43" s="217"/>
      <c r="B43" s="233"/>
      <c r="C43" s="407"/>
      <c r="D43" s="237"/>
      <c r="E43" s="214"/>
      <c r="F43" s="237"/>
      <c r="G43" s="481"/>
      <c r="H43" s="237"/>
      <c r="I43" s="216"/>
      <c r="K43" s="214"/>
      <c r="AN43" s="151" t="s">
        <v>1587</v>
      </c>
    </row>
    <row r="44" spans="1:11" ht="12.75">
      <c r="A44" s="412" t="s">
        <v>1617</v>
      </c>
      <c r="B44" s="233"/>
      <c r="C44" s="407"/>
      <c r="D44" s="466">
        <f>SUM(D45:D50)</f>
        <v>426312429</v>
      </c>
      <c r="E44" s="213"/>
      <c r="F44" s="466">
        <f>SUM(F45:F50)</f>
        <v>298636372</v>
      </c>
      <c r="G44" s="480"/>
      <c r="H44" s="237" t="e">
        <f>SUM(H46:H50)</f>
        <v>#REF!</v>
      </c>
      <c r="I44" s="216"/>
      <c r="K44" s="213"/>
    </row>
    <row r="45" spans="1:15" ht="12.75">
      <c r="A45" s="217" t="s">
        <v>1616</v>
      </c>
      <c r="B45" s="233">
        <v>8</v>
      </c>
      <c r="C45" s="407"/>
      <c r="D45" s="238">
        <f>'Notes (2)'!G237</f>
        <v>20847023</v>
      </c>
      <c r="E45" s="407"/>
      <c r="F45" s="238">
        <f>'Notes (2)'!I237</f>
        <v>54048267</v>
      </c>
      <c r="G45" s="481"/>
      <c r="H45" s="237">
        <v>0</v>
      </c>
      <c r="I45" s="216"/>
      <c r="J45" s="215">
        <v>298437554</v>
      </c>
      <c r="K45" s="214">
        <v>4506</v>
      </c>
      <c r="M45" s="232">
        <f aca="true" t="shared" si="1" ref="M45:M50">F45-D45</f>
        <v>33201244</v>
      </c>
      <c r="N45" s="243" t="s">
        <v>1587</v>
      </c>
      <c r="O45" s="215" t="s">
        <v>533</v>
      </c>
    </row>
    <row r="46" spans="1:17" ht="12.75">
      <c r="A46" s="217" t="s">
        <v>892</v>
      </c>
      <c r="B46" s="233">
        <v>12</v>
      </c>
      <c r="C46" s="407"/>
      <c r="D46" s="239">
        <f>'Notes (2)'!G299</f>
        <v>170531833</v>
      </c>
      <c r="E46" s="407"/>
      <c r="F46" s="239">
        <f>'Notes (2)'!I299</f>
        <v>85892127</v>
      </c>
      <c r="G46" s="481"/>
      <c r="H46" s="469" t="e">
        <f>'Notes (2)'!#REF!</f>
        <v>#REF!</v>
      </c>
      <c r="I46" s="216"/>
      <c r="J46" s="241">
        <f>F44-J45</f>
        <v>198818</v>
      </c>
      <c r="K46" s="214">
        <v>4501</v>
      </c>
      <c r="M46" s="232">
        <f t="shared" si="1"/>
        <v>-84639706</v>
      </c>
      <c r="O46" s="215" t="s">
        <v>533</v>
      </c>
      <c r="Q46" s="244"/>
    </row>
    <row r="47" spans="1:15" ht="12.75">
      <c r="A47" s="217" t="s">
        <v>1618</v>
      </c>
      <c r="B47" s="233">
        <v>13</v>
      </c>
      <c r="C47" s="407"/>
      <c r="D47" s="239">
        <f>'Notes (2)'!I317</f>
        <v>197076442</v>
      </c>
      <c r="E47" s="407"/>
      <c r="F47" s="239">
        <f>'Notes (2)'!I332</f>
        <v>137027096</v>
      </c>
      <c r="G47" s="481"/>
      <c r="H47" s="237">
        <v>94265567</v>
      </c>
      <c r="I47" s="216"/>
      <c r="K47" s="214">
        <v>4502</v>
      </c>
      <c r="M47" s="232">
        <f t="shared" si="1"/>
        <v>-60049346</v>
      </c>
      <c r="O47" s="215" t="s">
        <v>533</v>
      </c>
    </row>
    <row r="48" spans="1:17" ht="12" customHeight="1">
      <c r="A48" s="217" t="s">
        <v>1619</v>
      </c>
      <c r="B48" s="233">
        <v>14</v>
      </c>
      <c r="C48" s="407"/>
      <c r="D48" s="239">
        <f>'Notes (2)'!G401</f>
        <v>20802598</v>
      </c>
      <c r="E48" s="407"/>
      <c r="F48" s="239">
        <f>'Notes (2)'!I401</f>
        <v>15635730</v>
      </c>
      <c r="G48" s="481"/>
      <c r="H48" s="237" t="e">
        <f>'Notes (2)'!#REF!</f>
        <v>#REF!</v>
      </c>
      <c r="I48" s="216"/>
      <c r="K48" s="214">
        <v>4503</v>
      </c>
      <c r="M48" s="232">
        <f t="shared" si="1"/>
        <v>-5166868</v>
      </c>
      <c r="O48" s="215" t="s">
        <v>533</v>
      </c>
      <c r="Q48" s="244"/>
    </row>
    <row r="49" spans="1:15" ht="0.75" customHeight="1">
      <c r="A49" s="217" t="s">
        <v>1620</v>
      </c>
      <c r="B49" s="233">
        <v>10</v>
      </c>
      <c r="C49" s="407"/>
      <c r="D49" s="239">
        <v>0</v>
      </c>
      <c r="E49" s="407"/>
      <c r="F49" s="239">
        <v>0</v>
      </c>
      <c r="G49" s="481"/>
      <c r="H49" s="237">
        <v>7570410</v>
      </c>
      <c r="I49" s="216"/>
      <c r="J49" s="215" t="s">
        <v>1621</v>
      </c>
      <c r="K49" s="214">
        <v>4504</v>
      </c>
      <c r="M49" s="232">
        <f t="shared" si="1"/>
        <v>0</v>
      </c>
      <c r="O49" s="215" t="s">
        <v>533</v>
      </c>
    </row>
    <row r="50" spans="1:41" ht="12.75">
      <c r="A50" s="217" t="s">
        <v>894</v>
      </c>
      <c r="B50" s="233">
        <v>15</v>
      </c>
      <c r="C50" s="407"/>
      <c r="D50" s="240">
        <f>'Notes (2)'!G532</f>
        <v>17054533</v>
      </c>
      <c r="E50" s="407"/>
      <c r="F50" s="240">
        <f>'Notes (2)'!I532</f>
        <v>6033152</v>
      </c>
      <c r="G50" s="481"/>
      <c r="H50" s="470" t="e">
        <f>'Notes (2)'!#REF!</f>
        <v>#REF!</v>
      </c>
      <c r="I50" s="216"/>
      <c r="K50" s="214">
        <v>4507</v>
      </c>
      <c r="M50" s="232">
        <f t="shared" si="1"/>
        <v>-11021381</v>
      </c>
      <c r="N50" s="243" t="s">
        <v>1587</v>
      </c>
      <c r="O50" s="215" t="s">
        <v>533</v>
      </c>
      <c r="AN50" s="151" t="s">
        <v>747</v>
      </c>
      <c r="AO50" s="144" t="s">
        <v>1587</v>
      </c>
    </row>
    <row r="51" spans="1:41" ht="12.75">
      <c r="A51" s="217"/>
      <c r="B51" s="233"/>
      <c r="C51" s="407"/>
      <c r="D51" s="237"/>
      <c r="E51" s="214"/>
      <c r="F51" s="237"/>
      <c r="G51" s="481"/>
      <c r="H51" s="237"/>
      <c r="I51" s="216"/>
      <c r="K51" s="214"/>
      <c r="AO51" s="144" t="s">
        <v>1587</v>
      </c>
    </row>
    <row r="52" spans="1:11" ht="13.5" thickBot="1">
      <c r="A52" s="412" t="s">
        <v>966</v>
      </c>
      <c r="B52" s="233"/>
      <c r="C52" s="407"/>
      <c r="D52" s="467">
        <f>D44+D35</f>
        <v>5747349979</v>
      </c>
      <c r="E52" s="213"/>
      <c r="F52" s="467">
        <f>F44+F35</f>
        <v>688391243</v>
      </c>
      <c r="G52" s="480"/>
      <c r="H52" s="471" t="e">
        <f>H44+H35</f>
        <v>#REF!</v>
      </c>
      <c r="I52" s="216"/>
      <c r="K52" s="214"/>
    </row>
    <row r="53" spans="1:11" ht="14.25" thickBot="1" thickTop="1">
      <c r="A53" s="221"/>
      <c r="B53" s="413"/>
      <c r="C53" s="414"/>
      <c r="D53" s="222"/>
      <c r="E53" s="222"/>
      <c r="F53" s="222"/>
      <c r="G53" s="223"/>
      <c r="H53" s="222"/>
      <c r="I53" s="223"/>
      <c r="K53" s="214"/>
    </row>
    <row r="54" spans="4:13" ht="12.75">
      <c r="D54" s="241"/>
      <c r="F54" s="241"/>
      <c r="G54" s="237"/>
      <c r="K54" s="214"/>
      <c r="M54" s="232" t="s">
        <v>870</v>
      </c>
    </row>
    <row r="55" spans="5:39" ht="12.75">
      <c r="E55" s="144" t="s">
        <v>1587</v>
      </c>
      <c r="F55" s="151" t="s">
        <v>1587</v>
      </c>
      <c r="G55" s="170" t="s">
        <v>1587</v>
      </c>
      <c r="H55" s="246"/>
      <c r="M55" s="241">
        <f>D52-D31</f>
        <v>0</v>
      </c>
      <c r="R55" s="241">
        <f>D31-D52</f>
        <v>0</v>
      </c>
      <c r="S55" s="241">
        <f>F31-F52</f>
        <v>0</v>
      </c>
      <c r="AM55" s="144" t="s">
        <v>1587</v>
      </c>
    </row>
    <row r="56" spans="4:8" ht="12.75">
      <c r="D56" s="151" t="s">
        <v>1587</v>
      </c>
      <c r="E56" s="144" t="s">
        <v>1587</v>
      </c>
      <c r="F56" s="151" t="s">
        <v>1587</v>
      </c>
      <c r="G56" s="269" t="s">
        <v>1587</v>
      </c>
      <c r="H56" s="246"/>
    </row>
    <row r="57" spans="1:9" ht="12.75">
      <c r="A57" s="1289" t="s">
        <v>155</v>
      </c>
      <c r="B57" s="1290"/>
      <c r="C57" s="1290"/>
      <c r="D57" s="1290"/>
      <c r="E57" s="1290"/>
      <c r="F57" s="1290"/>
      <c r="G57" s="1290"/>
      <c r="H57" s="1290"/>
      <c r="I57" s="1290"/>
    </row>
    <row r="58" spans="8:13" ht="12.75">
      <c r="H58" s="232"/>
      <c r="M58" s="232">
        <f>M55*2</f>
        <v>0</v>
      </c>
    </row>
    <row r="59" spans="6:13" ht="12.75">
      <c r="F59" s="247"/>
      <c r="G59" s="475"/>
      <c r="H59" s="232"/>
      <c r="M59" s="151">
        <f>D31-D52</f>
        <v>0</v>
      </c>
    </row>
    <row r="60" spans="6:10" ht="12.75">
      <c r="F60" s="1244">
        <f>D52-D31</f>
        <v>0</v>
      </c>
      <c r="G60" s="475"/>
      <c r="H60" s="243"/>
      <c r="J60" s="241">
        <f>D52-D31</f>
        <v>0</v>
      </c>
    </row>
    <row r="61" spans="4:8" ht="12.75">
      <c r="D61" s="241">
        <f>D52-D31</f>
        <v>0</v>
      </c>
      <c r="H61" s="244"/>
    </row>
    <row r="63" ht="12.75">
      <c r="M63" s="232">
        <v>47916458</v>
      </c>
    </row>
    <row r="64" ht="12.75">
      <c r="M64" s="232">
        <f>-D45</f>
        <v>-20847023</v>
      </c>
    </row>
  </sheetData>
  <sheetProtection/>
  <mergeCells count="2">
    <mergeCell ref="A2:I2"/>
    <mergeCell ref="A57:I57"/>
  </mergeCells>
  <printOptions horizontalCentered="1" verticalCentered="1"/>
  <pageMargins left="0.7480314960629921" right="0.7480314960629921" top="1.5748031496062993" bottom="0.984251968503937" header="0.11811023622047245" footer="0.5118110236220472"/>
  <pageSetup fitToHeight="1" fitToWidth="1" horizontalDpi="600" verticalDpi="600" orientation="portrait" paperSize="9" r:id="rId2"/>
  <headerFooter alignWithMargins="0">
    <oddHeader>&amp;C&amp;G</oddHeader>
    <oddFooter>&amp;C- 2 -
</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AP55"/>
  <sheetViews>
    <sheetView zoomScalePageLayoutView="0" workbookViewId="0" topLeftCell="A22">
      <selection activeCell="A1" sqref="A1"/>
    </sheetView>
  </sheetViews>
  <sheetFormatPr defaultColWidth="9.140625" defaultRowHeight="12.75"/>
  <cols>
    <col min="1" max="1" width="2.7109375" style="215" customWidth="1"/>
    <col min="2" max="2" width="53.7109375" style="215" customWidth="1"/>
    <col min="3" max="3" width="5.140625" style="245" bestFit="1" customWidth="1"/>
    <col min="4" max="4" width="16.7109375" style="215" customWidth="1"/>
    <col min="5" max="5" width="1.28515625" style="215" customWidth="1"/>
    <col min="6" max="6" width="16.7109375" style="215" customWidth="1"/>
    <col min="7" max="7" width="1.7109375" style="214" customWidth="1"/>
    <col min="8" max="8" width="19.00390625" style="262" customWidth="1"/>
    <col min="9" max="9" width="11.8515625" style="215" customWidth="1"/>
    <col min="10" max="10" width="15.57421875" style="232" customWidth="1"/>
    <col min="11" max="11" width="36.8515625" style="215" customWidth="1"/>
    <col min="12" max="12" width="119.00390625" style="215" customWidth="1"/>
    <col min="13" max="14" width="9.140625" style="215" customWidth="1"/>
    <col min="15" max="16" width="10.00390625" style="215" customWidth="1"/>
    <col min="17" max="41" width="9.140625" style="215" customWidth="1"/>
    <col min="42" max="42" width="9.140625" style="214" customWidth="1"/>
    <col min="43" max="16384" width="9.140625" style="215" customWidth="1"/>
  </cols>
  <sheetData>
    <row r="1" spans="3:42" s="205" customFormat="1" ht="98.25" customHeight="1">
      <c r="C1" s="230"/>
      <c r="G1" s="472"/>
      <c r="H1" s="248"/>
      <c r="J1" s="231"/>
      <c r="AP1" s="472"/>
    </row>
    <row r="2" spans="2:6" ht="15.75">
      <c r="B2" s="1287" t="s">
        <v>569</v>
      </c>
      <c r="C2" s="1287"/>
      <c r="D2" s="1287"/>
      <c r="E2" s="1287"/>
      <c r="F2" s="1287"/>
    </row>
    <row r="3" spans="2:12" ht="13.5" thickBot="1">
      <c r="B3" s="1291"/>
      <c r="C3" s="1291"/>
      <c r="D3" s="1291"/>
      <c r="E3" s="1291"/>
      <c r="F3" s="1291"/>
      <c r="H3" s="220"/>
      <c r="L3" s="249" t="s">
        <v>1587</v>
      </c>
    </row>
    <row r="4" spans="2:8" ht="12.75">
      <c r="B4" s="482"/>
      <c r="C4" s="410" t="s">
        <v>1599</v>
      </c>
      <c r="D4" s="424">
        <v>2009</v>
      </c>
      <c r="E4" s="425"/>
      <c r="F4" s="426">
        <v>2008</v>
      </c>
      <c r="H4" s="250"/>
    </row>
    <row r="5" spans="2:8" ht="12.75">
      <c r="B5" s="412"/>
      <c r="C5" s="483"/>
      <c r="D5" s="252" t="s">
        <v>1186</v>
      </c>
      <c r="E5" s="251"/>
      <c r="F5" s="427" t="s">
        <v>1186</v>
      </c>
      <c r="H5" s="250" t="s">
        <v>1657</v>
      </c>
    </row>
    <row r="6" spans="2:8" ht="12.75">
      <c r="B6" s="412" t="s">
        <v>1658</v>
      </c>
      <c r="C6" s="483"/>
      <c r="D6" s="253"/>
      <c r="E6" s="213"/>
      <c r="F6" s="428"/>
      <c r="H6" s="250"/>
    </row>
    <row r="7" spans="2:11" ht="12.75">
      <c r="B7" s="217" t="s">
        <v>1676</v>
      </c>
      <c r="C7" s="233">
        <v>16</v>
      </c>
      <c r="D7" s="255">
        <v>167834292</v>
      </c>
      <c r="E7" s="214"/>
      <c r="F7" s="350">
        <v>136630631</v>
      </c>
      <c r="H7" s="220">
        <v>200</v>
      </c>
      <c r="K7" s="215" t="s">
        <v>351</v>
      </c>
    </row>
    <row r="8" spans="2:11" ht="12.75">
      <c r="B8" s="217" t="s">
        <v>948</v>
      </c>
      <c r="C8" s="233"/>
      <c r="D8" s="255">
        <v>11815294</v>
      </c>
      <c r="E8" s="214"/>
      <c r="F8" s="350">
        <v>10931682</v>
      </c>
      <c r="H8" s="220">
        <v>300</v>
      </c>
      <c r="K8" s="215" t="s">
        <v>339</v>
      </c>
    </row>
    <row r="9" spans="2:11" ht="12.75">
      <c r="B9" s="217" t="s">
        <v>949</v>
      </c>
      <c r="C9" s="233">
        <v>17</v>
      </c>
      <c r="D9" s="255">
        <v>553493899</v>
      </c>
      <c r="E9" s="214"/>
      <c r="F9" s="350">
        <v>451786275</v>
      </c>
      <c r="H9" s="220">
        <v>400</v>
      </c>
      <c r="K9" s="215" t="s">
        <v>327</v>
      </c>
    </row>
    <row r="10" spans="2:11" ht="12.75">
      <c r="B10" s="217" t="s">
        <v>194</v>
      </c>
      <c r="C10" s="233"/>
      <c r="D10" s="255">
        <v>3730479</v>
      </c>
      <c r="E10" s="214"/>
      <c r="F10" s="350">
        <v>3571588</v>
      </c>
      <c r="H10" s="220">
        <v>700</v>
      </c>
      <c r="K10" s="215" t="s">
        <v>352</v>
      </c>
    </row>
    <row r="11" spans="2:11" ht="12.75">
      <c r="B11" s="217" t="s">
        <v>1659</v>
      </c>
      <c r="C11" s="233"/>
      <c r="D11" s="255">
        <v>15169682</v>
      </c>
      <c r="E11" s="214"/>
      <c r="F11" s="350">
        <v>3865552</v>
      </c>
      <c r="G11" s="214" t="s">
        <v>1587</v>
      </c>
      <c r="H11" s="220">
        <v>800</v>
      </c>
      <c r="K11" s="215" t="s">
        <v>344</v>
      </c>
    </row>
    <row r="12" spans="2:11" ht="12.75">
      <c r="B12" s="217" t="s">
        <v>1660</v>
      </c>
      <c r="C12" s="233"/>
      <c r="D12" s="255">
        <v>16920126</v>
      </c>
      <c r="E12" s="214"/>
      <c r="F12" s="350">
        <v>40045093</v>
      </c>
      <c r="H12" s="220">
        <v>1000</v>
      </c>
      <c r="K12" s="215" t="s">
        <v>353</v>
      </c>
    </row>
    <row r="13" spans="2:11" ht="12.75">
      <c r="B13" s="217" t="s">
        <v>1661</v>
      </c>
      <c r="C13" s="233"/>
      <c r="D13" s="255">
        <v>12657321</v>
      </c>
      <c r="E13" s="214"/>
      <c r="F13" s="350">
        <v>17227534</v>
      </c>
      <c r="H13" s="220">
        <v>1300</v>
      </c>
      <c r="K13" s="215" t="s">
        <v>354</v>
      </c>
    </row>
    <row r="14" spans="2:12" ht="12.75">
      <c r="B14" s="217" t="s">
        <v>967</v>
      </c>
      <c r="C14" s="233"/>
      <c r="D14" s="255">
        <v>14129</v>
      </c>
      <c r="E14" s="214"/>
      <c r="F14" s="350">
        <v>10302</v>
      </c>
      <c r="H14" s="220">
        <v>1400</v>
      </c>
      <c r="K14" s="215" t="s">
        <v>355</v>
      </c>
      <c r="L14" s="215" t="s">
        <v>908</v>
      </c>
    </row>
    <row r="15" spans="2:11" ht="12.75">
      <c r="B15" s="217" t="s">
        <v>1050</v>
      </c>
      <c r="C15" s="233"/>
      <c r="D15" s="255">
        <v>16135131</v>
      </c>
      <c r="E15" s="214"/>
      <c r="F15" s="350">
        <v>12774884</v>
      </c>
      <c r="H15" s="220">
        <v>1500</v>
      </c>
      <c r="K15" s="215" t="s">
        <v>356</v>
      </c>
    </row>
    <row r="16" spans="2:11" ht="12.75">
      <c r="B16" s="217" t="s">
        <v>1662</v>
      </c>
      <c r="C16" s="233">
        <v>18</v>
      </c>
      <c r="D16" s="255">
        <f>197545830-8000</f>
        <v>197537830</v>
      </c>
      <c r="E16" s="214"/>
      <c r="F16" s="350">
        <v>136062635</v>
      </c>
      <c r="H16" s="220">
        <v>1600</v>
      </c>
      <c r="K16" s="215" t="s">
        <v>330</v>
      </c>
    </row>
    <row r="17" spans="2:12" ht="12.75">
      <c r="B17" s="217" t="s">
        <v>1429</v>
      </c>
      <c r="C17" s="233">
        <v>19.1</v>
      </c>
      <c r="D17" s="258">
        <f>29236279+4146928+8000</f>
        <v>33391207</v>
      </c>
      <c r="E17" s="214"/>
      <c r="F17" s="429">
        <f>32631138+5184514</f>
        <v>37815652</v>
      </c>
      <c r="H17" s="220">
        <v>1700</v>
      </c>
      <c r="I17" s="249" t="s">
        <v>1587</v>
      </c>
      <c r="K17" s="215" t="s">
        <v>357</v>
      </c>
      <c r="L17" s="661" t="s">
        <v>1587</v>
      </c>
    </row>
    <row r="18" spans="2:8" ht="12.75" hidden="1">
      <c r="B18" s="217" t="s">
        <v>1663</v>
      </c>
      <c r="C18" s="233"/>
      <c r="D18" s="255">
        <v>0</v>
      </c>
      <c r="E18" s="214"/>
      <c r="F18" s="350">
        <v>0</v>
      </c>
      <c r="H18" s="220">
        <v>2000</v>
      </c>
    </row>
    <row r="19" spans="2:42" s="175" customFormat="1" ht="14.25" customHeight="1">
      <c r="B19" s="171" t="s">
        <v>822</v>
      </c>
      <c r="C19" s="443"/>
      <c r="D19" s="458">
        <f>SUM(D7:D18)</f>
        <v>1028699390</v>
      </c>
      <c r="E19" s="464"/>
      <c r="F19" s="981">
        <f>SUM(F7:F18)</f>
        <v>850721828</v>
      </c>
      <c r="G19" s="464"/>
      <c r="H19" s="982"/>
      <c r="J19" s="181"/>
      <c r="AP19" s="464"/>
    </row>
    <row r="20" spans="2:8" ht="14.25" customHeight="1">
      <c r="B20" s="147" t="s">
        <v>821</v>
      </c>
      <c r="C20" s="233">
        <v>19.2</v>
      </c>
      <c r="D20" s="255">
        <f>'Notes (2)'!G778</f>
        <v>7679566</v>
      </c>
      <c r="E20" s="214"/>
      <c r="F20" s="350">
        <v>0</v>
      </c>
      <c r="H20" s="220">
        <v>2000</v>
      </c>
    </row>
    <row r="21" spans="2:8" ht="7.5" customHeight="1">
      <c r="B21" s="147"/>
      <c r="C21" s="233"/>
      <c r="D21" s="255"/>
      <c r="E21" s="214"/>
      <c r="F21" s="350"/>
      <c r="H21" s="220"/>
    </row>
    <row r="22" spans="2:11" ht="12.75">
      <c r="B22" s="171" t="s">
        <v>823</v>
      </c>
      <c r="C22" s="233"/>
      <c r="D22" s="256">
        <f>D19-D20</f>
        <v>1021019824</v>
      </c>
      <c r="E22" s="213"/>
      <c r="F22" s="1034">
        <f>F19-F20</f>
        <v>850721828</v>
      </c>
      <c r="H22" s="220"/>
      <c r="I22" s="215" t="s">
        <v>1587</v>
      </c>
      <c r="J22" s="232" t="s">
        <v>1587</v>
      </c>
      <c r="K22" s="215" t="s">
        <v>358</v>
      </c>
    </row>
    <row r="23" spans="2:8" ht="12.75">
      <c r="B23" s="217"/>
      <c r="C23" s="233"/>
      <c r="D23" s="257"/>
      <c r="E23" s="214"/>
      <c r="F23" s="349"/>
      <c r="H23" s="220"/>
    </row>
    <row r="24" spans="2:8" ht="12.75">
      <c r="B24" s="412" t="s">
        <v>1664</v>
      </c>
      <c r="C24" s="233"/>
      <c r="D24" s="255"/>
      <c r="E24" s="214"/>
      <c r="F24" s="350"/>
      <c r="H24" s="250"/>
    </row>
    <row r="25" spans="2:11" ht="12.75">
      <c r="B25" s="217" t="s">
        <v>1682</v>
      </c>
      <c r="C25" s="233">
        <v>20</v>
      </c>
      <c r="D25" s="255">
        <v>291783557</v>
      </c>
      <c r="E25" s="214"/>
      <c r="F25" s="350">
        <v>271303967</v>
      </c>
      <c r="H25" s="220" t="s">
        <v>1665</v>
      </c>
      <c r="I25" s="215">
        <v>233705313</v>
      </c>
      <c r="J25" s="232">
        <f>I25-D25</f>
        <v>-58078244</v>
      </c>
      <c r="K25" s="215" t="s">
        <v>359</v>
      </c>
    </row>
    <row r="26" spans="2:11" ht="12.75">
      <c r="B26" s="217" t="s">
        <v>1059</v>
      </c>
      <c r="C26" s="233">
        <v>21</v>
      </c>
      <c r="D26" s="255">
        <v>14245756</v>
      </c>
      <c r="E26" s="214"/>
      <c r="F26" s="350">
        <v>12943049</v>
      </c>
      <c r="H26" s="220">
        <v>3400</v>
      </c>
      <c r="I26" s="215">
        <v>7844775</v>
      </c>
      <c r="J26" s="232">
        <f>I26-D26</f>
        <v>-6400981</v>
      </c>
      <c r="K26" s="215" t="s">
        <v>340</v>
      </c>
    </row>
    <row r="27" spans="2:8" ht="12.75">
      <c r="B27" s="217" t="s">
        <v>252</v>
      </c>
      <c r="C27" s="233">
        <v>13</v>
      </c>
      <c r="D27" s="255">
        <f>37657743</f>
        <v>37657743</v>
      </c>
      <c r="E27" s="214"/>
      <c r="F27" s="350">
        <v>98829891</v>
      </c>
      <c r="H27" s="220">
        <v>3600</v>
      </c>
    </row>
    <row r="28" spans="2:8" ht="12.75">
      <c r="B28" s="217" t="s">
        <v>1684</v>
      </c>
      <c r="C28" s="233"/>
      <c r="D28" s="255">
        <v>2111214</v>
      </c>
      <c r="E28" s="214"/>
      <c r="F28" s="350">
        <v>987294</v>
      </c>
      <c r="H28" s="220">
        <v>3600</v>
      </c>
    </row>
    <row r="29" spans="2:11" ht="12.75">
      <c r="B29" s="217" t="s">
        <v>1072</v>
      </c>
      <c r="C29" s="233">
        <v>10</v>
      </c>
      <c r="D29" s="255">
        <f>9964810-D30</f>
        <v>9227939</v>
      </c>
      <c r="E29" s="214"/>
      <c r="F29" s="350">
        <v>5522199</v>
      </c>
      <c r="H29" s="220" t="s">
        <v>1667</v>
      </c>
      <c r="K29" s="215" t="s">
        <v>360</v>
      </c>
    </row>
    <row r="30" spans="2:8" ht="12.75">
      <c r="B30" s="217" t="s">
        <v>1051</v>
      </c>
      <c r="C30" s="233">
        <v>11</v>
      </c>
      <c r="D30" s="255">
        <f>736871</f>
        <v>736871</v>
      </c>
      <c r="E30" s="214"/>
      <c r="F30" s="350">
        <v>594303</v>
      </c>
      <c r="H30" s="220"/>
    </row>
    <row r="31" spans="2:11" ht="12.75">
      <c r="B31" s="217" t="s">
        <v>195</v>
      </c>
      <c r="C31" s="233"/>
      <c r="D31" s="255">
        <v>46677284</v>
      </c>
      <c r="E31" s="214"/>
      <c r="F31" s="350">
        <v>31934952</v>
      </c>
      <c r="H31" s="220">
        <v>3800</v>
      </c>
      <c r="K31" s="215" t="s">
        <v>361</v>
      </c>
    </row>
    <row r="32" spans="2:11" ht="12.75">
      <c r="B32" s="217" t="s">
        <v>1476</v>
      </c>
      <c r="C32" s="233">
        <v>22</v>
      </c>
      <c r="D32" s="255">
        <v>36619701</v>
      </c>
      <c r="E32" s="214"/>
      <c r="F32" s="350">
        <v>35724656</v>
      </c>
      <c r="H32" s="220">
        <v>3900</v>
      </c>
      <c r="K32" s="215" t="s">
        <v>343</v>
      </c>
    </row>
    <row r="33" spans="2:11" ht="12.75">
      <c r="B33" s="217" t="s">
        <v>1685</v>
      </c>
      <c r="C33" s="233">
        <v>23</v>
      </c>
      <c r="D33" s="255">
        <v>278894865</v>
      </c>
      <c r="E33" s="214"/>
      <c r="F33" s="350">
        <v>223993821</v>
      </c>
      <c r="H33" s="220">
        <v>4100</v>
      </c>
      <c r="K33" s="215" t="s">
        <v>362</v>
      </c>
    </row>
    <row r="34" spans="2:11" ht="12.75">
      <c r="B34" s="217" t="s">
        <v>1668</v>
      </c>
      <c r="C34" s="233"/>
      <c r="D34" s="255">
        <v>48548287</v>
      </c>
      <c r="E34" s="214"/>
      <c r="F34" s="350">
        <v>25329754</v>
      </c>
      <c r="H34" s="220">
        <v>4200</v>
      </c>
      <c r="K34" s="215" t="s">
        <v>363</v>
      </c>
    </row>
    <row r="35" spans="2:11" ht="12.75">
      <c r="B35" s="217" t="s">
        <v>950</v>
      </c>
      <c r="C35" s="233"/>
      <c r="D35" s="255">
        <v>4588636</v>
      </c>
      <c r="E35" s="214"/>
      <c r="F35" s="350">
        <v>6949582</v>
      </c>
      <c r="H35" s="220">
        <v>4300</v>
      </c>
      <c r="K35" s="215" t="s">
        <v>365</v>
      </c>
    </row>
    <row r="36" spans="2:11" ht="12.75">
      <c r="B36" s="217" t="s">
        <v>1669</v>
      </c>
      <c r="C36" s="233">
        <v>24</v>
      </c>
      <c r="D36" s="255">
        <f>112505872+362547-D20</f>
        <v>105188853</v>
      </c>
      <c r="E36" s="214"/>
      <c r="F36" s="350">
        <v>89752070</v>
      </c>
      <c r="H36" s="220" t="s">
        <v>1670</v>
      </c>
      <c r="J36" s="232" t="s">
        <v>1587</v>
      </c>
      <c r="K36" s="215" t="s">
        <v>364</v>
      </c>
    </row>
    <row r="37" spans="2:11" ht="12.75" customHeight="1">
      <c r="B37" s="217" t="s">
        <v>951</v>
      </c>
      <c r="C37" s="233">
        <v>20</v>
      </c>
      <c r="D37" s="255">
        <f>-1376285</f>
        <v>-1376285</v>
      </c>
      <c r="E37" s="214"/>
      <c r="F37" s="350">
        <v>-1305712</v>
      </c>
      <c r="H37" s="220" t="s">
        <v>1671</v>
      </c>
      <c r="K37" s="215" t="s">
        <v>366</v>
      </c>
    </row>
    <row r="38" spans="2:8" ht="6.75" customHeight="1">
      <c r="B38" s="217"/>
      <c r="C38" s="233"/>
      <c r="D38" s="258"/>
      <c r="E38" s="214"/>
      <c r="F38" s="429"/>
      <c r="H38" s="220"/>
    </row>
    <row r="39" spans="2:11" ht="12.75">
      <c r="B39" s="171" t="s">
        <v>824</v>
      </c>
      <c r="C39" s="233"/>
      <c r="D39" s="927">
        <f>SUM(D25:D37)</f>
        <v>874904421</v>
      </c>
      <c r="E39" s="213"/>
      <c r="F39" s="928">
        <f>SUM(F25:F37)</f>
        <v>802559826</v>
      </c>
      <c r="H39" s="250"/>
      <c r="K39" s="215" t="s">
        <v>367</v>
      </c>
    </row>
    <row r="40" spans="2:8" ht="8.25" customHeight="1">
      <c r="B40" s="217"/>
      <c r="C40" s="233"/>
      <c r="D40" s="259"/>
      <c r="E40" s="213"/>
      <c r="F40" s="430"/>
      <c r="H40" s="220"/>
    </row>
    <row r="41" spans="2:8" ht="13.5" thickBot="1">
      <c r="B41" s="412" t="s">
        <v>888</v>
      </c>
      <c r="C41" s="233"/>
      <c r="D41" s="260">
        <f>SUM(D22-D39)</f>
        <v>146115403</v>
      </c>
      <c r="E41" s="213"/>
      <c r="F41" s="929">
        <f>SUM(F22-F39)</f>
        <v>48162002</v>
      </c>
      <c r="H41" s="250"/>
    </row>
    <row r="42" spans="2:11" ht="14.25" thickBot="1" thickTop="1">
      <c r="B42" s="221"/>
      <c r="C42" s="413"/>
      <c r="D42" s="261"/>
      <c r="E42" s="261"/>
      <c r="F42" s="223"/>
      <c r="H42" s="220"/>
      <c r="K42" s="215">
        <v>882583987</v>
      </c>
    </row>
    <row r="43" spans="2:11" ht="12.75">
      <c r="B43" s="214"/>
      <c r="C43" s="254"/>
      <c r="D43" s="214"/>
      <c r="E43" s="214"/>
      <c r="F43" s="214"/>
      <c r="H43" s="220"/>
      <c r="K43" s="249">
        <f>K42-D39</f>
        <v>7679566</v>
      </c>
    </row>
    <row r="44" spans="1:42" s="245" customFormat="1" ht="12.75">
      <c r="A44" s="1228"/>
      <c r="B44" s="1289" t="s">
        <v>156</v>
      </c>
      <c r="C44" s="1290"/>
      <c r="D44" s="1290"/>
      <c r="E44" s="1290"/>
      <c r="F44" s="1290"/>
      <c r="G44" s="254"/>
      <c r="H44" s="254"/>
      <c r="J44" s="1229"/>
      <c r="K44" s="1230"/>
      <c r="AP44" s="254"/>
    </row>
    <row r="45" spans="8:11" ht="12.75">
      <c r="H45" s="262">
        <v>146477950</v>
      </c>
      <c r="K45" s="249">
        <f>SUM(K43:K44)</f>
        <v>7679566</v>
      </c>
    </row>
    <row r="54" ht="12.75">
      <c r="F54" s="249">
        <f>F29-5248955</f>
        <v>273244</v>
      </c>
    </row>
    <row r="55" ht="12.75">
      <c r="F55" s="215">
        <f>5522199</f>
        <v>5522199</v>
      </c>
    </row>
  </sheetData>
  <sheetProtection/>
  <mergeCells count="3">
    <mergeCell ref="B2:F2"/>
    <mergeCell ref="B44:F44"/>
    <mergeCell ref="B3:F3"/>
  </mergeCells>
  <printOptions verticalCentered="1"/>
  <pageMargins left="0.7480314960629921" right="0.7480314960629921" top="0.984251968503937" bottom="0.984251968503937" header="0.5118110236220472" footer="0.5118110236220472"/>
  <pageSetup fitToHeight="1" fitToWidth="1" horizontalDpi="600" verticalDpi="600" orientation="portrait" paperSize="9" scale="94" r:id="rId2"/>
  <headerFooter alignWithMargins="0">
    <oddHeader>&amp;C&amp;G</oddHeader>
    <oddFooter>&amp;C- 3 -</oddFooter>
  </headerFooter>
  <legacyDrawingHF r:id="rId1"/>
</worksheet>
</file>

<file path=xl/worksheets/sheet6.xml><?xml version="1.0" encoding="utf-8"?>
<worksheet xmlns="http://schemas.openxmlformats.org/spreadsheetml/2006/main" xmlns:r="http://schemas.openxmlformats.org/officeDocument/2006/relationships">
  <dimension ref="A1:IV1578"/>
  <sheetViews>
    <sheetView view="pageBreakPreview" zoomScale="75" zoomScaleNormal="75" zoomScaleSheetLayoutView="75" zoomScalePageLayoutView="0" workbookViewId="0" topLeftCell="A558">
      <selection activeCell="E576" sqref="E576"/>
    </sheetView>
  </sheetViews>
  <sheetFormatPr defaultColWidth="9.140625" defaultRowHeight="12.75"/>
  <cols>
    <col min="1" max="1" width="9.8515625" style="731" bestFit="1" customWidth="1"/>
    <col min="2" max="2" width="80.8515625" style="732" customWidth="1"/>
    <col min="3" max="3" width="7.7109375" style="727" customWidth="1"/>
    <col min="4" max="4" width="2.00390625" style="727" customWidth="1"/>
    <col min="5" max="5" width="15.8515625" style="733" customWidth="1"/>
    <col min="6" max="6" width="4.7109375" style="727" customWidth="1"/>
    <col min="7" max="7" width="21.7109375" style="751" customWidth="1"/>
    <col min="8" max="8" width="12.28125" style="744" customWidth="1"/>
    <col min="9" max="9" width="19.8515625" style="752" customWidth="1"/>
    <col min="10" max="10" width="82.421875" style="727" bestFit="1" customWidth="1"/>
    <col min="11" max="11" width="18.28125" style="725" bestFit="1" customWidth="1"/>
    <col min="12" max="12" width="23.00390625" style="726" customWidth="1"/>
    <col min="13" max="13" width="17.28125" style="727" customWidth="1"/>
    <col min="14" max="14" width="15.57421875" style="727" customWidth="1"/>
    <col min="15" max="15" width="12.28125" style="727" customWidth="1"/>
    <col min="16" max="17" width="9.140625" style="727" customWidth="1"/>
    <col min="18" max="18" width="9.57421875" style="727" customWidth="1"/>
    <col min="19" max="20" width="9.140625" style="727" customWidth="1"/>
    <col min="21" max="21" width="11.00390625" style="727" bestFit="1" customWidth="1"/>
    <col min="22" max="22" width="12.00390625" style="727" bestFit="1" customWidth="1"/>
    <col min="23" max="23" width="11.00390625" style="727" bestFit="1" customWidth="1"/>
    <col min="24" max="16384" width="9.140625" style="727" customWidth="1"/>
  </cols>
  <sheetData>
    <row r="1" spans="1:10" ht="15.75" customHeight="1">
      <c r="A1" s="1272" t="s">
        <v>1185</v>
      </c>
      <c r="B1" s="1272"/>
      <c r="C1" s="1272"/>
      <c r="D1" s="1272"/>
      <c r="E1" s="1272"/>
      <c r="F1" s="1272"/>
      <c r="G1" s="1272"/>
      <c r="H1" s="1272"/>
      <c r="I1" s="1272"/>
      <c r="J1" s="724"/>
    </row>
    <row r="2" spans="1:256" ht="15.75" customHeight="1">
      <c r="A2" s="1272" t="s">
        <v>583</v>
      </c>
      <c r="B2" s="1272"/>
      <c r="C2" s="1272"/>
      <c r="D2" s="1272"/>
      <c r="E2" s="1272"/>
      <c r="F2" s="1272"/>
      <c r="G2" s="1272"/>
      <c r="H2" s="1272"/>
      <c r="I2" s="1272"/>
      <c r="J2" s="724"/>
      <c r="K2" s="728"/>
      <c r="L2" s="724"/>
      <c r="M2" s="724"/>
      <c r="N2" s="724"/>
      <c r="O2" s="724"/>
      <c r="P2" s="724"/>
      <c r="Q2" s="1251"/>
      <c r="R2" s="1251"/>
      <c r="S2" s="1251"/>
      <c r="T2" s="1251"/>
      <c r="U2" s="1251"/>
      <c r="V2" s="1251"/>
      <c r="W2" s="1251"/>
      <c r="X2" s="1251"/>
      <c r="Y2" s="1251"/>
      <c r="Z2" s="1251"/>
      <c r="AA2" s="1251"/>
      <c r="AB2" s="1251"/>
      <c r="AC2" s="1251"/>
      <c r="AD2" s="1251"/>
      <c r="AE2" s="1251"/>
      <c r="AF2" s="1251"/>
      <c r="AG2" s="1251"/>
      <c r="AH2" s="1251"/>
      <c r="AI2" s="1251"/>
      <c r="AJ2" s="1251"/>
      <c r="AK2" s="1251"/>
      <c r="AL2" s="1251"/>
      <c r="AM2" s="1251"/>
      <c r="AN2" s="1251"/>
      <c r="AO2" s="1251"/>
      <c r="AP2" s="1251"/>
      <c r="AQ2" s="1251"/>
      <c r="AR2" s="1251"/>
      <c r="AS2" s="1251"/>
      <c r="AT2" s="1251"/>
      <c r="AU2" s="1251"/>
      <c r="AV2" s="1251"/>
      <c r="AW2" s="1251"/>
      <c r="AX2" s="1251"/>
      <c r="AY2" s="1251"/>
      <c r="AZ2" s="1251"/>
      <c r="BA2" s="1251"/>
      <c r="BB2" s="1251"/>
      <c r="BC2" s="1251"/>
      <c r="BD2" s="1251"/>
      <c r="BE2" s="1251"/>
      <c r="BF2" s="1251"/>
      <c r="BG2" s="1251"/>
      <c r="BH2" s="1251"/>
      <c r="BI2" s="1251"/>
      <c r="BJ2" s="1251"/>
      <c r="BK2" s="1251"/>
      <c r="BL2" s="1251"/>
      <c r="BM2" s="1251"/>
      <c r="BN2" s="1251"/>
      <c r="BO2" s="1251"/>
      <c r="BP2" s="1251"/>
      <c r="BQ2" s="1251"/>
      <c r="BR2" s="1251"/>
      <c r="BS2" s="1251"/>
      <c r="BT2" s="1251"/>
      <c r="BU2" s="1251"/>
      <c r="BV2" s="1251"/>
      <c r="BW2" s="1251"/>
      <c r="BX2" s="1251"/>
      <c r="BY2" s="1251"/>
      <c r="BZ2" s="1251"/>
      <c r="CA2" s="1251"/>
      <c r="CB2" s="1251"/>
      <c r="CC2" s="1251"/>
      <c r="CD2" s="1251"/>
      <c r="CE2" s="1251"/>
      <c r="CF2" s="1251"/>
      <c r="CG2" s="1251"/>
      <c r="CH2" s="1251"/>
      <c r="CI2" s="1251"/>
      <c r="CJ2" s="1251"/>
      <c r="CK2" s="1251"/>
      <c r="CL2" s="1251"/>
      <c r="CM2" s="1251"/>
      <c r="CN2" s="1251"/>
      <c r="CO2" s="1251"/>
      <c r="CP2" s="1251"/>
      <c r="CQ2" s="1251"/>
      <c r="CR2" s="1251"/>
      <c r="CS2" s="1251"/>
      <c r="CT2" s="1251"/>
      <c r="CU2" s="1251"/>
      <c r="CV2" s="1251"/>
      <c r="CW2" s="1251"/>
      <c r="CX2" s="1251"/>
      <c r="CY2" s="1251"/>
      <c r="CZ2" s="1251"/>
      <c r="DA2" s="1251"/>
      <c r="DB2" s="1251"/>
      <c r="DC2" s="1251"/>
      <c r="DD2" s="1251"/>
      <c r="DE2" s="1251"/>
      <c r="DF2" s="1251"/>
      <c r="DG2" s="1251"/>
      <c r="DH2" s="1251"/>
      <c r="DI2" s="1251"/>
      <c r="DJ2" s="1251"/>
      <c r="DK2" s="1251"/>
      <c r="DL2" s="1251"/>
      <c r="DM2" s="1251"/>
      <c r="DN2" s="1251"/>
      <c r="DO2" s="1251"/>
      <c r="DP2" s="1251"/>
      <c r="DQ2" s="1251"/>
      <c r="DR2" s="1251"/>
      <c r="DS2" s="1251"/>
      <c r="DT2" s="1251"/>
      <c r="DU2" s="1251"/>
      <c r="DV2" s="1251"/>
      <c r="DW2" s="1251"/>
      <c r="DX2" s="1251"/>
      <c r="DY2" s="1251"/>
      <c r="DZ2" s="1251"/>
      <c r="EA2" s="1251"/>
      <c r="EB2" s="1251"/>
      <c r="EC2" s="1251"/>
      <c r="ED2" s="1251"/>
      <c r="EE2" s="1251"/>
      <c r="EF2" s="1251"/>
      <c r="EG2" s="1251"/>
      <c r="EH2" s="1251"/>
      <c r="EI2" s="1251"/>
      <c r="EJ2" s="1251"/>
      <c r="EK2" s="1251"/>
      <c r="EL2" s="1251"/>
      <c r="EM2" s="1251"/>
      <c r="EN2" s="1251"/>
      <c r="EO2" s="1251"/>
      <c r="EP2" s="1251"/>
      <c r="EQ2" s="1251"/>
      <c r="ER2" s="1251"/>
      <c r="ES2" s="1251"/>
      <c r="ET2" s="1251"/>
      <c r="EU2" s="1251"/>
      <c r="EV2" s="1251"/>
      <c r="EW2" s="1251"/>
      <c r="EX2" s="1251"/>
      <c r="EY2" s="1251"/>
      <c r="EZ2" s="1251"/>
      <c r="FA2" s="1251"/>
      <c r="FB2" s="1251"/>
      <c r="FC2" s="1251"/>
      <c r="FD2" s="1251"/>
      <c r="FE2" s="1251"/>
      <c r="FF2" s="1251"/>
      <c r="FG2" s="1251"/>
      <c r="FH2" s="1251"/>
      <c r="FI2" s="1251"/>
      <c r="FJ2" s="1251"/>
      <c r="FK2" s="1251"/>
      <c r="FL2" s="1251"/>
      <c r="FM2" s="1251"/>
      <c r="FN2" s="1251"/>
      <c r="FO2" s="1251"/>
      <c r="FP2" s="1251"/>
      <c r="FQ2" s="1251"/>
      <c r="FR2" s="1251"/>
      <c r="FS2" s="1251"/>
      <c r="FT2" s="1251"/>
      <c r="FU2" s="1251"/>
      <c r="FV2" s="1251"/>
      <c r="FW2" s="1251"/>
      <c r="FX2" s="1251"/>
      <c r="FY2" s="1251"/>
      <c r="FZ2" s="1251"/>
      <c r="GA2" s="1251"/>
      <c r="GB2" s="1251"/>
      <c r="GC2" s="1251"/>
      <c r="GD2" s="1251"/>
      <c r="GE2" s="1251"/>
      <c r="GF2" s="1251"/>
      <c r="GG2" s="1251"/>
      <c r="GH2" s="1251"/>
      <c r="GI2" s="1251"/>
      <c r="GJ2" s="1251"/>
      <c r="GK2" s="1251"/>
      <c r="GL2" s="1251"/>
      <c r="GM2" s="1251"/>
      <c r="GN2" s="1251"/>
      <c r="GO2" s="1251"/>
      <c r="GP2" s="1251"/>
      <c r="GQ2" s="1251"/>
      <c r="GR2" s="1251"/>
      <c r="GS2" s="1251"/>
      <c r="GT2" s="1251"/>
      <c r="GU2" s="1251"/>
      <c r="GV2" s="1251"/>
      <c r="GW2" s="1251"/>
      <c r="GX2" s="1251"/>
      <c r="GY2" s="1251"/>
      <c r="GZ2" s="1251"/>
      <c r="HA2" s="1251"/>
      <c r="HB2" s="1251"/>
      <c r="HC2" s="1251"/>
      <c r="HD2" s="1251"/>
      <c r="HE2" s="1251"/>
      <c r="HF2" s="1251"/>
      <c r="HG2" s="1251"/>
      <c r="HH2" s="1251"/>
      <c r="HI2" s="1251"/>
      <c r="HJ2" s="1251"/>
      <c r="HK2" s="1251"/>
      <c r="HL2" s="1251"/>
      <c r="HM2" s="1251"/>
      <c r="HN2" s="1251"/>
      <c r="HO2" s="1251"/>
      <c r="HP2" s="1251"/>
      <c r="HQ2" s="1251"/>
      <c r="HR2" s="1251"/>
      <c r="HS2" s="1251"/>
      <c r="HT2" s="1251"/>
      <c r="HU2" s="1251"/>
      <c r="HV2" s="1251"/>
      <c r="HW2" s="1251"/>
      <c r="HX2" s="1251"/>
      <c r="HY2" s="1251"/>
      <c r="HZ2" s="1251"/>
      <c r="IA2" s="1251"/>
      <c r="IB2" s="1251"/>
      <c r="IC2" s="1251"/>
      <c r="ID2" s="1251"/>
      <c r="IE2" s="1251"/>
      <c r="IF2" s="1251"/>
      <c r="IG2" s="1251"/>
      <c r="IH2" s="1251"/>
      <c r="II2" s="1251"/>
      <c r="IJ2" s="1251"/>
      <c r="IK2" s="1251"/>
      <c r="IL2" s="1251"/>
      <c r="IM2" s="1251"/>
      <c r="IN2" s="1251"/>
      <c r="IO2" s="1251"/>
      <c r="IP2" s="1251"/>
      <c r="IQ2" s="1251"/>
      <c r="IR2" s="1251"/>
      <c r="IS2" s="1251"/>
      <c r="IT2" s="1251"/>
      <c r="IU2" s="1251"/>
      <c r="IV2" s="1251"/>
    </row>
    <row r="3" spans="1:256" ht="15">
      <c r="A3" s="730"/>
      <c r="B3" s="724"/>
      <c r="C3" s="724"/>
      <c r="D3" s="724"/>
      <c r="E3" s="724"/>
      <c r="F3" s="724"/>
      <c r="G3" s="724"/>
      <c r="H3" s="724"/>
      <c r="I3" s="1164"/>
      <c r="J3" s="724"/>
      <c r="K3" s="728"/>
      <c r="L3" s="724"/>
      <c r="M3" s="724"/>
      <c r="N3" s="724"/>
      <c r="O3" s="724"/>
      <c r="P3" s="724"/>
      <c r="Q3" s="729"/>
      <c r="R3" s="729"/>
      <c r="S3" s="729"/>
      <c r="T3" s="729"/>
      <c r="U3" s="729"/>
      <c r="V3" s="729"/>
      <c r="W3" s="729"/>
      <c r="X3" s="729"/>
      <c r="Y3" s="729"/>
      <c r="Z3" s="729"/>
      <c r="AA3" s="729"/>
      <c r="AB3" s="729"/>
      <c r="AC3" s="729"/>
      <c r="AD3" s="729"/>
      <c r="AE3" s="729"/>
      <c r="AF3" s="729"/>
      <c r="AG3" s="729"/>
      <c r="AH3" s="729"/>
      <c r="AI3" s="729"/>
      <c r="AJ3" s="729"/>
      <c r="AK3" s="729"/>
      <c r="AL3" s="729"/>
      <c r="AM3" s="729"/>
      <c r="AN3" s="729"/>
      <c r="AO3" s="729"/>
      <c r="AP3" s="729"/>
      <c r="AQ3" s="729"/>
      <c r="AR3" s="729"/>
      <c r="AS3" s="729"/>
      <c r="AT3" s="729"/>
      <c r="AU3" s="729"/>
      <c r="AV3" s="729"/>
      <c r="AW3" s="729"/>
      <c r="AX3" s="729"/>
      <c r="AY3" s="729"/>
      <c r="AZ3" s="729"/>
      <c r="BA3" s="729"/>
      <c r="BB3" s="729"/>
      <c r="BC3" s="729"/>
      <c r="BD3" s="729"/>
      <c r="BE3" s="729"/>
      <c r="BF3" s="729"/>
      <c r="BG3" s="729"/>
      <c r="BH3" s="729"/>
      <c r="BI3" s="729"/>
      <c r="BJ3" s="729"/>
      <c r="BK3" s="729"/>
      <c r="BL3" s="729"/>
      <c r="BM3" s="729"/>
      <c r="BN3" s="729"/>
      <c r="BO3" s="729"/>
      <c r="BP3" s="729"/>
      <c r="BQ3" s="729"/>
      <c r="BR3" s="729"/>
      <c r="BS3" s="729"/>
      <c r="BT3" s="729"/>
      <c r="BU3" s="729"/>
      <c r="BV3" s="729"/>
      <c r="BW3" s="729"/>
      <c r="BX3" s="729"/>
      <c r="BY3" s="729"/>
      <c r="BZ3" s="729"/>
      <c r="CA3" s="729"/>
      <c r="CB3" s="729"/>
      <c r="CC3" s="729"/>
      <c r="CD3" s="729"/>
      <c r="CE3" s="729"/>
      <c r="CF3" s="729"/>
      <c r="CG3" s="729"/>
      <c r="CH3" s="729"/>
      <c r="CI3" s="729"/>
      <c r="CJ3" s="729"/>
      <c r="CK3" s="729"/>
      <c r="CL3" s="729"/>
      <c r="CM3" s="729"/>
      <c r="CN3" s="729"/>
      <c r="CO3" s="729"/>
      <c r="CP3" s="729"/>
      <c r="CQ3" s="729"/>
      <c r="CR3" s="729"/>
      <c r="CS3" s="729"/>
      <c r="CT3" s="729"/>
      <c r="CU3" s="729"/>
      <c r="CV3" s="729"/>
      <c r="CW3" s="729"/>
      <c r="CX3" s="729"/>
      <c r="CY3" s="729"/>
      <c r="CZ3" s="729"/>
      <c r="DA3" s="729"/>
      <c r="DB3" s="729"/>
      <c r="DC3" s="729"/>
      <c r="DD3" s="729"/>
      <c r="DE3" s="729"/>
      <c r="DF3" s="729"/>
      <c r="DG3" s="729"/>
      <c r="DH3" s="729"/>
      <c r="DI3" s="729"/>
      <c r="DJ3" s="729"/>
      <c r="DK3" s="729"/>
      <c r="DL3" s="729"/>
      <c r="DM3" s="729"/>
      <c r="DN3" s="729"/>
      <c r="DO3" s="729"/>
      <c r="DP3" s="729"/>
      <c r="DQ3" s="729"/>
      <c r="DR3" s="729"/>
      <c r="DS3" s="729"/>
      <c r="DT3" s="729"/>
      <c r="DU3" s="729"/>
      <c r="DV3" s="729"/>
      <c r="DW3" s="729"/>
      <c r="DX3" s="729"/>
      <c r="DY3" s="729"/>
      <c r="DZ3" s="729"/>
      <c r="EA3" s="729"/>
      <c r="EB3" s="729"/>
      <c r="EC3" s="729"/>
      <c r="ED3" s="729"/>
      <c r="EE3" s="729"/>
      <c r="EF3" s="729"/>
      <c r="EG3" s="729"/>
      <c r="EH3" s="729"/>
      <c r="EI3" s="729"/>
      <c r="EJ3" s="729"/>
      <c r="EK3" s="729"/>
      <c r="EL3" s="729"/>
      <c r="EM3" s="729"/>
      <c r="EN3" s="729"/>
      <c r="EO3" s="729"/>
      <c r="EP3" s="729"/>
      <c r="EQ3" s="729"/>
      <c r="ER3" s="729"/>
      <c r="ES3" s="729"/>
      <c r="ET3" s="729"/>
      <c r="EU3" s="729"/>
      <c r="EV3" s="729"/>
      <c r="EW3" s="729"/>
      <c r="EX3" s="729"/>
      <c r="EY3" s="729"/>
      <c r="EZ3" s="729"/>
      <c r="FA3" s="729"/>
      <c r="FB3" s="729"/>
      <c r="FC3" s="729"/>
      <c r="FD3" s="729"/>
      <c r="FE3" s="729"/>
      <c r="FF3" s="729"/>
      <c r="FG3" s="729"/>
      <c r="FH3" s="729"/>
      <c r="FI3" s="729"/>
      <c r="FJ3" s="729"/>
      <c r="FK3" s="729"/>
      <c r="FL3" s="729"/>
      <c r="FM3" s="729"/>
      <c r="FN3" s="729"/>
      <c r="FO3" s="729"/>
      <c r="FP3" s="729"/>
      <c r="FQ3" s="729"/>
      <c r="FR3" s="729"/>
      <c r="FS3" s="729"/>
      <c r="FT3" s="729"/>
      <c r="FU3" s="729"/>
      <c r="FV3" s="729"/>
      <c r="FW3" s="729"/>
      <c r="FX3" s="729"/>
      <c r="FY3" s="729"/>
      <c r="FZ3" s="729"/>
      <c r="GA3" s="729"/>
      <c r="GB3" s="729"/>
      <c r="GC3" s="729"/>
      <c r="GD3" s="729"/>
      <c r="GE3" s="729"/>
      <c r="GF3" s="729"/>
      <c r="GG3" s="729"/>
      <c r="GH3" s="729"/>
      <c r="GI3" s="729"/>
      <c r="GJ3" s="729"/>
      <c r="GK3" s="729"/>
      <c r="GL3" s="729"/>
      <c r="GM3" s="729"/>
      <c r="GN3" s="729"/>
      <c r="GO3" s="729"/>
      <c r="GP3" s="729"/>
      <c r="GQ3" s="729"/>
      <c r="GR3" s="729"/>
      <c r="GS3" s="729"/>
      <c r="GT3" s="729"/>
      <c r="GU3" s="729"/>
      <c r="GV3" s="729"/>
      <c r="GW3" s="729"/>
      <c r="GX3" s="729"/>
      <c r="GY3" s="729"/>
      <c r="GZ3" s="729"/>
      <c r="HA3" s="729"/>
      <c r="HB3" s="729"/>
      <c r="HC3" s="729"/>
      <c r="HD3" s="729"/>
      <c r="HE3" s="729"/>
      <c r="HF3" s="729"/>
      <c r="HG3" s="729"/>
      <c r="HH3" s="729"/>
      <c r="HI3" s="729"/>
      <c r="HJ3" s="729"/>
      <c r="HK3" s="729"/>
      <c r="HL3" s="729"/>
      <c r="HM3" s="729"/>
      <c r="HN3" s="729"/>
      <c r="HO3" s="729"/>
      <c r="HP3" s="729"/>
      <c r="HQ3" s="729"/>
      <c r="HR3" s="729"/>
      <c r="HS3" s="729"/>
      <c r="HT3" s="729"/>
      <c r="HU3" s="729"/>
      <c r="HV3" s="729"/>
      <c r="HW3" s="729"/>
      <c r="HX3" s="729"/>
      <c r="HY3" s="729"/>
      <c r="HZ3" s="729"/>
      <c r="IA3" s="729"/>
      <c r="IB3" s="729"/>
      <c r="IC3" s="729"/>
      <c r="ID3" s="729"/>
      <c r="IE3" s="729"/>
      <c r="IF3" s="729"/>
      <c r="IG3" s="729"/>
      <c r="IH3" s="729"/>
      <c r="II3" s="729"/>
      <c r="IJ3" s="729"/>
      <c r="IK3" s="729"/>
      <c r="IL3" s="729"/>
      <c r="IM3" s="729"/>
      <c r="IN3" s="729"/>
      <c r="IO3" s="729"/>
      <c r="IP3" s="729"/>
      <c r="IQ3" s="729"/>
      <c r="IR3" s="729"/>
      <c r="IS3" s="729"/>
      <c r="IT3" s="729"/>
      <c r="IU3" s="729"/>
      <c r="IV3" s="729"/>
    </row>
    <row r="4" spans="7:9" ht="12.75" customHeight="1">
      <c r="G4" s="734">
        <v>2009</v>
      </c>
      <c r="H4" s="735" t="s">
        <v>1587</v>
      </c>
      <c r="I4" s="734">
        <v>2008</v>
      </c>
    </row>
    <row r="5" spans="1:10" ht="12.75" customHeight="1" thickBot="1">
      <c r="A5" s="736"/>
      <c r="B5" s="737"/>
      <c r="C5" s="738"/>
      <c r="D5" s="738"/>
      <c r="E5" s="739"/>
      <c r="F5" s="738"/>
      <c r="G5" s="740" t="s">
        <v>1186</v>
      </c>
      <c r="H5" s="983"/>
      <c r="I5" s="1203" t="s">
        <v>1186</v>
      </c>
      <c r="J5" s="733" t="s">
        <v>556</v>
      </c>
    </row>
    <row r="6" spans="1:10" ht="9" customHeight="1">
      <c r="A6" s="742"/>
      <c r="B6" s="743"/>
      <c r="C6" s="744"/>
      <c r="D6" s="744"/>
      <c r="E6" s="745"/>
      <c r="F6" s="744"/>
      <c r="G6" s="746"/>
      <c r="H6" s="741"/>
      <c r="I6" s="1165"/>
      <c r="J6" s="733"/>
    </row>
    <row r="7" spans="1:10" ht="15.75" customHeight="1">
      <c r="A7" s="731">
        <v>1</v>
      </c>
      <c r="B7" s="748" t="s">
        <v>954</v>
      </c>
      <c r="C7" s="733"/>
      <c r="D7" s="733"/>
      <c r="F7" s="733"/>
      <c r="G7" s="749"/>
      <c r="H7" s="745"/>
      <c r="J7" s="727" t="s">
        <v>557</v>
      </c>
    </row>
    <row r="8" ht="11.25" customHeight="1"/>
    <row r="9" spans="1:2" ht="15" customHeight="1">
      <c r="A9" s="731" t="s">
        <v>1587</v>
      </c>
      <c r="B9" s="748" t="s">
        <v>8</v>
      </c>
    </row>
    <row r="10" spans="1:12" s="732" customFormat="1" ht="15" customHeight="1">
      <c r="A10" s="753"/>
      <c r="B10" s="754" t="s">
        <v>968</v>
      </c>
      <c r="C10" s="754"/>
      <c r="D10" s="754"/>
      <c r="E10" s="755"/>
      <c r="F10" s="754"/>
      <c r="G10" s="756">
        <f>'LOANS-APP A'!G41+21968</f>
        <v>202278102</v>
      </c>
      <c r="H10" s="757"/>
      <c r="I10" s="758">
        <v>209249264</v>
      </c>
      <c r="J10" s="759" t="s">
        <v>555</v>
      </c>
      <c r="K10" s="760"/>
      <c r="L10" s="761"/>
    </row>
    <row r="11" spans="1:12" s="732" customFormat="1" ht="15" customHeight="1">
      <c r="A11" s="753"/>
      <c r="B11" s="754" t="s">
        <v>804</v>
      </c>
      <c r="C11" s="754"/>
      <c r="D11" s="754"/>
      <c r="E11" s="755"/>
      <c r="F11" s="754"/>
      <c r="G11" s="762">
        <f>I35</f>
        <v>1543461</v>
      </c>
      <c r="H11" s="757"/>
      <c r="I11" s="763">
        <f>I48</f>
        <v>1893602</v>
      </c>
      <c r="K11" s="760"/>
      <c r="L11" s="761"/>
    </row>
    <row r="12" spans="1:12" s="732" customFormat="1" ht="15" customHeight="1">
      <c r="A12" s="753"/>
      <c r="B12" s="754" t="s">
        <v>1190</v>
      </c>
      <c r="C12" s="754"/>
      <c r="D12" s="754"/>
      <c r="E12" s="755"/>
      <c r="F12" s="754"/>
      <c r="G12" s="756">
        <f>SUM(G10:G11)</f>
        <v>203821563</v>
      </c>
      <c r="H12" s="757"/>
      <c r="I12" s="758">
        <f>SUM(I10:I11)</f>
        <v>211142866</v>
      </c>
      <c r="J12" s="732" t="s">
        <v>263</v>
      </c>
      <c r="K12" s="760"/>
      <c r="L12" s="761"/>
    </row>
    <row r="13" spans="1:12" s="732" customFormat="1" ht="9" customHeight="1">
      <c r="A13" s="753"/>
      <c r="B13" s="754"/>
      <c r="C13" s="754"/>
      <c r="D13" s="754"/>
      <c r="E13" s="755"/>
      <c r="F13" s="754"/>
      <c r="G13" s="756"/>
      <c r="H13" s="757"/>
      <c r="I13" s="758"/>
      <c r="K13" s="760"/>
      <c r="L13" s="761"/>
    </row>
    <row r="14" spans="1:12" s="732" customFormat="1" ht="15" customHeight="1">
      <c r="A14" s="753"/>
      <c r="B14" s="754" t="s">
        <v>955</v>
      </c>
      <c r="C14" s="754"/>
      <c r="D14" s="754"/>
      <c r="E14" s="755"/>
      <c r="F14" s="754"/>
      <c r="G14" s="751">
        <f>SUM(G15:G17)</f>
        <v>37785561</v>
      </c>
      <c r="H14" s="757"/>
      <c r="I14" s="764">
        <f>SUM(I16:I17)</f>
        <v>33814608</v>
      </c>
      <c r="K14" s="760"/>
      <c r="L14" s="761"/>
    </row>
    <row r="15" spans="1:12" s="732" customFormat="1" ht="8.25" customHeight="1">
      <c r="A15" s="753"/>
      <c r="B15" s="754"/>
      <c r="C15" s="754"/>
      <c r="D15" s="754"/>
      <c r="E15" s="755"/>
      <c r="F15" s="754"/>
      <c r="G15" s="765"/>
      <c r="H15" s="757"/>
      <c r="I15" s="764"/>
      <c r="J15" s="743"/>
      <c r="K15" s="760"/>
      <c r="L15" s="761"/>
    </row>
    <row r="16" spans="1:12" s="732" customFormat="1" ht="15" customHeight="1">
      <c r="A16" s="753"/>
      <c r="B16" s="754" t="s">
        <v>968</v>
      </c>
      <c r="C16" s="754"/>
      <c r="D16" s="754"/>
      <c r="E16" s="1245"/>
      <c r="F16" s="754"/>
      <c r="G16" s="766">
        <f>37785561-G17</f>
        <v>37584393</v>
      </c>
      <c r="H16" s="757"/>
      <c r="I16" s="767">
        <v>33486435</v>
      </c>
      <c r="J16" s="759" t="s">
        <v>546</v>
      </c>
      <c r="K16" s="760"/>
      <c r="L16" s="761"/>
    </row>
    <row r="17" spans="1:12" s="732" customFormat="1" ht="15" customHeight="1">
      <c r="A17" s="753"/>
      <c r="B17" s="754" t="s">
        <v>804</v>
      </c>
      <c r="C17" s="754"/>
      <c r="D17" s="754"/>
      <c r="E17" s="755" t="s">
        <v>1587</v>
      </c>
      <c r="F17" s="754"/>
      <c r="G17" s="768">
        <f>-I36</f>
        <v>201168</v>
      </c>
      <c r="H17" s="757"/>
      <c r="I17" s="769">
        <f>-I49</f>
        <v>328173</v>
      </c>
      <c r="K17" s="760"/>
      <c r="L17" s="761"/>
    </row>
    <row r="18" spans="1:12" s="732" customFormat="1" ht="9" customHeight="1">
      <c r="A18" s="753"/>
      <c r="B18" s="754"/>
      <c r="C18" s="754"/>
      <c r="D18" s="754"/>
      <c r="E18" s="755"/>
      <c r="F18" s="754"/>
      <c r="G18" s="765" t="s">
        <v>1587</v>
      </c>
      <c r="H18" s="770"/>
      <c r="I18" s="770" t="s">
        <v>1587</v>
      </c>
      <c r="K18" s="760"/>
      <c r="L18" s="761"/>
    </row>
    <row r="19" spans="1:12" s="732" customFormat="1" ht="15" customHeight="1" thickBot="1">
      <c r="A19" s="753"/>
      <c r="B19" s="755"/>
      <c r="C19" s="754"/>
      <c r="D19" s="754"/>
      <c r="E19" s="755"/>
      <c r="F19" s="754"/>
      <c r="G19" s="771">
        <f>SUM(G12-G14)</f>
        <v>166036002</v>
      </c>
      <c r="H19" s="772"/>
      <c r="I19" s="773">
        <f>I12-I14</f>
        <v>177328258</v>
      </c>
      <c r="K19" s="760"/>
      <c r="L19" s="761"/>
    </row>
    <row r="20" spans="1:12" s="732" customFormat="1" ht="9.75" customHeight="1" thickTop="1">
      <c r="A20" s="753"/>
      <c r="B20" s="754"/>
      <c r="C20" s="754"/>
      <c r="D20" s="754"/>
      <c r="E20" s="755"/>
      <c r="F20" s="754"/>
      <c r="G20" s="756"/>
      <c r="H20" s="757"/>
      <c r="I20" s="754"/>
      <c r="K20" s="760"/>
      <c r="L20" s="761"/>
    </row>
    <row r="21" spans="1:12" s="732" customFormat="1" ht="32.25" customHeight="1">
      <c r="A21" s="753" t="s">
        <v>1587</v>
      </c>
      <c r="B21" s="1274" t="s">
        <v>102</v>
      </c>
      <c r="C21" s="1275"/>
      <c r="D21" s="1275"/>
      <c r="E21" s="1275"/>
      <c r="F21" s="776"/>
      <c r="G21" s="776"/>
      <c r="H21" s="776"/>
      <c r="I21" s="776"/>
      <c r="K21" s="760">
        <f>15843597.96+31125622</f>
        <v>46969219.96</v>
      </c>
      <c r="L21" s="761"/>
    </row>
    <row r="22" spans="1:12" s="732" customFormat="1" ht="8.25" customHeight="1">
      <c r="A22" s="753"/>
      <c r="B22" s="754"/>
      <c r="C22" s="754"/>
      <c r="D22" s="754"/>
      <c r="E22" s="755"/>
      <c r="F22" s="754"/>
      <c r="G22" s="756"/>
      <c r="H22" s="757"/>
      <c r="I22" s="754"/>
      <c r="K22" s="760"/>
      <c r="L22" s="761"/>
    </row>
    <row r="23" spans="1:12" s="732" customFormat="1" ht="15.75" customHeight="1">
      <c r="A23" s="753"/>
      <c r="B23" s="754" t="s">
        <v>963</v>
      </c>
      <c r="C23" s="754"/>
      <c r="D23" s="754"/>
      <c r="E23" s="755"/>
      <c r="F23" s="754"/>
      <c r="G23" s="756"/>
      <c r="H23" s="757"/>
      <c r="I23" s="754"/>
      <c r="K23" s="760"/>
      <c r="L23" s="761"/>
    </row>
    <row r="24" spans="1:12" s="732" customFormat="1" ht="9" customHeight="1">
      <c r="A24" s="753"/>
      <c r="B24" s="754"/>
      <c r="C24" s="754"/>
      <c r="D24" s="754"/>
      <c r="E24" s="755"/>
      <c r="F24" s="754"/>
      <c r="G24" s="756"/>
      <c r="H24" s="757"/>
      <c r="I24" s="754"/>
      <c r="K24" s="760"/>
      <c r="L24" s="761"/>
    </row>
    <row r="25" spans="1:9" ht="15">
      <c r="A25" s="917" t="s">
        <v>1587</v>
      </c>
      <c r="B25" s="755" t="s">
        <v>9</v>
      </c>
      <c r="C25" s="752"/>
      <c r="D25" s="752"/>
      <c r="E25" s="750"/>
      <c r="F25" s="752"/>
      <c r="G25" s="915"/>
      <c r="H25" s="916"/>
      <c r="I25" s="727"/>
    </row>
    <row r="26" spans="1:9" ht="9" customHeight="1">
      <c r="A26" s="917"/>
      <c r="B26" s="755"/>
      <c r="C26" s="752"/>
      <c r="D26" s="752"/>
      <c r="E26" s="750"/>
      <c r="F26" s="752"/>
      <c r="G26" s="915"/>
      <c r="H26" s="916"/>
      <c r="I26" s="727"/>
    </row>
    <row r="27" spans="1:11" ht="8.25" customHeight="1">
      <c r="A27" s="1157"/>
      <c r="B27" s="1158"/>
      <c r="C27" s="752"/>
      <c r="D27" s="752"/>
      <c r="E27" s="727"/>
      <c r="G27" s="752"/>
      <c r="H27" s="727"/>
      <c r="K27" s="726"/>
    </row>
    <row r="28" spans="1:9" ht="39" customHeight="1">
      <c r="A28" s="753"/>
      <c r="B28" s="1008">
        <v>2009</v>
      </c>
      <c r="C28" s="752"/>
      <c r="D28" s="752"/>
      <c r="E28" s="1122" t="s">
        <v>58</v>
      </c>
      <c r="F28" s="1123"/>
      <c r="G28" s="1122" t="s">
        <v>60</v>
      </c>
      <c r="H28" s="747"/>
      <c r="I28" s="1167" t="s">
        <v>59</v>
      </c>
    </row>
    <row r="29" spans="1:9" ht="15.75" customHeight="1">
      <c r="A29" s="753"/>
      <c r="B29" s="755"/>
      <c r="C29" s="752"/>
      <c r="D29" s="752"/>
      <c r="E29" s="1124" t="s">
        <v>743</v>
      </c>
      <c r="F29" s="1123"/>
      <c r="G29" s="1124" t="s">
        <v>1587</v>
      </c>
      <c r="H29" s="747"/>
      <c r="I29" s="1168" t="s">
        <v>746</v>
      </c>
    </row>
    <row r="30" spans="1:12" s="1009" customFormat="1" ht="12.75" customHeight="1">
      <c r="A30" s="1006"/>
      <c r="B30" s="1009" t="s">
        <v>741</v>
      </c>
      <c r="C30" s="1010"/>
      <c r="D30" s="1010"/>
      <c r="E30" s="1011"/>
      <c r="F30" s="1010"/>
      <c r="G30" s="1011"/>
      <c r="H30" s="1012"/>
      <c r="K30" s="1013"/>
      <c r="L30" s="1014"/>
    </row>
    <row r="31" spans="1:12" s="1009" customFormat="1" ht="12.75" customHeight="1">
      <c r="A31" s="1006"/>
      <c r="B31" s="1009" t="s">
        <v>738</v>
      </c>
      <c r="C31" s="1010"/>
      <c r="D31" s="1010"/>
      <c r="E31" s="1015">
        <v>394706</v>
      </c>
      <c r="F31" s="1010"/>
      <c r="G31" s="1015">
        <v>193539</v>
      </c>
      <c r="H31" s="1012"/>
      <c r="I31" s="1016">
        <v>201168</v>
      </c>
      <c r="K31" s="1013"/>
      <c r="L31" s="1014"/>
    </row>
    <row r="32" spans="1:12" s="1009" customFormat="1" ht="14.25" customHeight="1">
      <c r="A32" s="1006"/>
      <c r="B32" s="1009" t="s">
        <v>739</v>
      </c>
      <c r="C32" s="1010"/>
      <c r="D32" s="1010"/>
      <c r="E32" s="1015">
        <f>733171</f>
        <v>733171</v>
      </c>
      <c r="F32" s="1010"/>
      <c r="G32" s="1015">
        <v>943734</v>
      </c>
      <c r="H32" s="1012"/>
      <c r="I32" s="1010">
        <f>E32-G32</f>
        <v>-210563</v>
      </c>
      <c r="K32" s="1013"/>
      <c r="L32" s="1014"/>
    </row>
    <row r="33" spans="1:12" s="1009" customFormat="1" ht="14.25" customHeight="1">
      <c r="A33" s="1006"/>
      <c r="B33" s="1009" t="s">
        <v>740</v>
      </c>
      <c r="C33" s="1010"/>
      <c r="D33" s="1010"/>
      <c r="E33" s="1015">
        <v>5476967</v>
      </c>
      <c r="F33" s="1010"/>
      <c r="G33" s="1015">
        <v>3924111</v>
      </c>
      <c r="H33" s="1012"/>
      <c r="I33" s="1016">
        <v>1552856</v>
      </c>
      <c r="K33" s="1013"/>
      <c r="L33" s="1014"/>
    </row>
    <row r="34" spans="1:12" s="1009" customFormat="1" ht="9" customHeight="1">
      <c r="A34" s="1006"/>
      <c r="C34" s="1010"/>
      <c r="D34" s="1010"/>
      <c r="E34" s="1015"/>
      <c r="F34" s="1010"/>
      <c r="G34" s="1015"/>
      <c r="H34" s="1012"/>
      <c r="I34" s="1016"/>
      <c r="K34" s="1013"/>
      <c r="L34" s="1014"/>
    </row>
    <row r="35" spans="1:12" s="841" customFormat="1" ht="15" customHeight="1" thickBot="1">
      <c r="A35" s="1007"/>
      <c r="C35" s="1001"/>
      <c r="D35" s="1001"/>
      <c r="E35" s="1005">
        <v>6604845</v>
      </c>
      <c r="F35" s="1001"/>
      <c r="G35" s="1005">
        <v>5061384</v>
      </c>
      <c r="H35" s="1002"/>
      <c r="I35" s="1193">
        <f>SUM(I31:I33)</f>
        <v>1543461</v>
      </c>
      <c r="K35" s="1003"/>
      <c r="L35" s="1004"/>
    </row>
    <row r="36" spans="1:12" s="1009" customFormat="1" ht="15" customHeight="1" thickTop="1">
      <c r="A36" s="1006"/>
      <c r="B36" s="1009" t="s">
        <v>742</v>
      </c>
      <c r="C36" s="1010"/>
      <c r="D36" s="1010"/>
      <c r="F36" s="1010"/>
      <c r="H36" s="1012"/>
      <c r="I36" s="1010">
        <v>-201168</v>
      </c>
      <c r="K36" s="1013"/>
      <c r="L36" s="1014"/>
    </row>
    <row r="37" spans="1:12" s="1009" customFormat="1" ht="9" customHeight="1">
      <c r="A37" s="1006"/>
      <c r="C37" s="1010"/>
      <c r="D37" s="1010"/>
      <c r="F37" s="1010"/>
      <c r="H37" s="1012"/>
      <c r="I37" s="1016"/>
      <c r="K37" s="1013"/>
      <c r="L37" s="1014"/>
    </row>
    <row r="38" spans="1:12" s="1009" customFormat="1" ht="15" customHeight="1" thickBot="1">
      <c r="A38" s="1006"/>
      <c r="B38" s="1006"/>
      <c r="C38" s="1010"/>
      <c r="D38" s="1010"/>
      <c r="E38" s="1006"/>
      <c r="F38" s="1010"/>
      <c r="G38" s="1017"/>
      <c r="H38" s="1012"/>
      <c r="I38" s="1194">
        <f>I35+I36</f>
        <v>1342293</v>
      </c>
      <c r="K38" s="1013"/>
      <c r="L38" s="1014"/>
    </row>
    <row r="39" spans="1:12" s="1009" customFormat="1" ht="49.5" customHeight="1" thickTop="1">
      <c r="A39" s="755"/>
      <c r="B39" s="1274" t="s">
        <v>99</v>
      </c>
      <c r="C39" s="1275"/>
      <c r="D39" s="1275"/>
      <c r="E39" s="1275"/>
      <c r="I39" s="1009" t="s">
        <v>1587</v>
      </c>
      <c r="K39" s="1013"/>
      <c r="L39" s="1014"/>
    </row>
    <row r="40" spans="1:12" s="1009" customFormat="1" ht="15" customHeight="1">
      <c r="A40" s="755"/>
      <c r="B40" s="754"/>
      <c r="C40" s="1010"/>
      <c r="D40" s="1010"/>
      <c r="E40" s="1006"/>
      <c r="F40" s="1006"/>
      <c r="G40" s="1018"/>
      <c r="H40" s="1019"/>
      <c r="I40" s="1016" t="s">
        <v>1587</v>
      </c>
      <c r="K40" s="1013"/>
      <c r="L40" s="1014"/>
    </row>
    <row r="41" spans="1:12" s="1009" customFormat="1" ht="38.25" customHeight="1">
      <c r="A41" s="755"/>
      <c r="B41" s="1008">
        <v>2008</v>
      </c>
      <c r="C41" s="1010"/>
      <c r="D41" s="1010"/>
      <c r="E41" s="1126" t="s">
        <v>58</v>
      </c>
      <c r="F41" s="1123"/>
      <c r="G41" s="1125" t="s">
        <v>744</v>
      </c>
      <c r="H41" s="747"/>
      <c r="I41" s="730" t="s">
        <v>59</v>
      </c>
      <c r="K41" s="1013"/>
      <c r="L41" s="1014"/>
    </row>
    <row r="42" spans="1:12" s="1009" customFormat="1" ht="15" customHeight="1">
      <c r="A42" s="755"/>
      <c r="C42" s="1010"/>
      <c r="D42" s="1010"/>
      <c r="E42" s="1125" t="s">
        <v>743</v>
      </c>
      <c r="F42" s="1123"/>
      <c r="G42" s="1125" t="s">
        <v>745</v>
      </c>
      <c r="H42" s="747"/>
      <c r="I42" s="1204" t="s">
        <v>746</v>
      </c>
      <c r="K42" s="1013"/>
      <c r="L42" s="1014"/>
    </row>
    <row r="43" spans="1:12" s="732" customFormat="1" ht="15" customHeight="1">
      <c r="A43" s="755"/>
      <c r="B43" s="732" t="s">
        <v>741</v>
      </c>
      <c r="C43" s="754"/>
      <c r="D43" s="754"/>
      <c r="E43" s="755"/>
      <c r="F43" s="754"/>
      <c r="G43" s="836"/>
      <c r="H43" s="757"/>
      <c r="I43" s="754"/>
      <c r="K43" s="760"/>
      <c r="L43" s="761"/>
    </row>
    <row r="44" spans="1:12" s="732" customFormat="1" ht="15" customHeight="1">
      <c r="A44" s="755"/>
      <c r="B44" s="732" t="s">
        <v>738</v>
      </c>
      <c r="C44" s="754"/>
      <c r="D44" s="754"/>
      <c r="E44" s="1020">
        <v>569872</v>
      </c>
      <c r="F44" s="754"/>
      <c r="G44" s="1020">
        <v>241699</v>
      </c>
      <c r="H44" s="757"/>
      <c r="I44" s="1021">
        <f>E44-G44</f>
        <v>328173</v>
      </c>
      <c r="J44" s="1021" t="s">
        <v>1587</v>
      </c>
      <c r="K44" s="760"/>
      <c r="L44" s="761"/>
    </row>
    <row r="45" spans="1:12" s="732" customFormat="1" ht="15" customHeight="1">
      <c r="A45" s="755"/>
      <c r="B45" s="732" t="s">
        <v>739</v>
      </c>
      <c r="C45" s="754"/>
      <c r="D45" s="754"/>
      <c r="E45" s="1020">
        <v>5262551</v>
      </c>
      <c r="F45" s="754"/>
      <c r="G45" s="1020">
        <f>E45-I45</f>
        <v>3697122</v>
      </c>
      <c r="H45" s="757"/>
      <c r="I45" s="1021">
        <f>I48-I44</f>
        <v>1565429</v>
      </c>
      <c r="J45" s="1021" t="s">
        <v>1587</v>
      </c>
      <c r="K45" s="760"/>
      <c r="L45" s="761"/>
    </row>
    <row r="46" spans="1:12" s="732" customFormat="1" ht="15" customHeight="1">
      <c r="A46" s="755"/>
      <c r="B46" s="732" t="s">
        <v>740</v>
      </c>
      <c r="C46" s="754"/>
      <c r="D46" s="754"/>
      <c r="E46" s="757">
        <v>0</v>
      </c>
      <c r="F46" s="754"/>
      <c r="G46" s="757">
        <v>0</v>
      </c>
      <c r="H46" s="757" t="s">
        <v>1587</v>
      </c>
      <c r="I46" s="757">
        <v>0</v>
      </c>
      <c r="K46" s="760"/>
      <c r="L46" s="761"/>
    </row>
    <row r="47" spans="1:12" s="732" customFormat="1" ht="9" customHeight="1">
      <c r="A47" s="755"/>
      <c r="C47" s="754"/>
      <c r="D47" s="754"/>
      <c r="E47" s="1020"/>
      <c r="F47" s="754"/>
      <c r="G47" s="1020"/>
      <c r="H47" s="757"/>
      <c r="I47" s="1021"/>
      <c r="K47" s="760"/>
      <c r="L47" s="761"/>
    </row>
    <row r="48" spans="1:12" s="732" customFormat="1" ht="15" customHeight="1" thickBot="1">
      <c r="A48" s="755"/>
      <c r="C48" s="754"/>
      <c r="D48" s="754"/>
      <c r="E48" s="1022">
        <v>5832423</v>
      </c>
      <c r="F48" s="754"/>
      <c r="G48" s="1022">
        <f>SUM(G44:G45)</f>
        <v>3938821</v>
      </c>
      <c r="H48" s="757"/>
      <c r="I48" s="1195">
        <f>1893602</f>
        <v>1893602</v>
      </c>
      <c r="J48" s="1021" t="s">
        <v>1587</v>
      </c>
      <c r="K48" s="760"/>
      <c r="L48" s="761"/>
    </row>
    <row r="49" spans="1:12" s="732" customFormat="1" ht="15" customHeight="1" thickTop="1">
      <c r="A49" s="755"/>
      <c r="B49" s="732" t="s">
        <v>742</v>
      </c>
      <c r="C49" s="754"/>
      <c r="D49" s="754"/>
      <c r="E49" s="755"/>
      <c r="F49" s="754"/>
      <c r="G49" s="836"/>
      <c r="H49" s="757"/>
      <c r="I49" s="1010">
        <v>-328173</v>
      </c>
      <c r="J49" s="732" t="s">
        <v>141</v>
      </c>
      <c r="K49" s="760"/>
      <c r="L49" s="761"/>
    </row>
    <row r="50" spans="1:12" s="732" customFormat="1" ht="9" customHeight="1">
      <c r="A50" s="755"/>
      <c r="C50" s="754"/>
      <c r="D50" s="754"/>
      <c r="E50" s="755"/>
      <c r="F50" s="754"/>
      <c r="G50" s="836"/>
      <c r="H50" s="757"/>
      <c r="I50" s="1021"/>
      <c r="K50" s="760"/>
      <c r="L50" s="761"/>
    </row>
    <row r="51" spans="1:12" s="732" customFormat="1" ht="15" customHeight="1" hidden="1" thickBot="1">
      <c r="A51" s="755"/>
      <c r="B51" s="755"/>
      <c r="C51" s="754"/>
      <c r="D51" s="754"/>
      <c r="E51" s="755"/>
      <c r="F51" s="754"/>
      <c r="G51" s="836"/>
      <c r="H51" s="757"/>
      <c r="I51" s="1195">
        <v>201168</v>
      </c>
      <c r="K51" s="760"/>
      <c r="L51" s="761"/>
    </row>
    <row r="52" spans="1:12" s="1009" customFormat="1" ht="48.75" customHeight="1">
      <c r="A52" s="755"/>
      <c r="B52" s="1274" t="s">
        <v>99</v>
      </c>
      <c r="C52" s="1275"/>
      <c r="D52" s="1275"/>
      <c r="E52" s="1275"/>
      <c r="F52" s="1010"/>
      <c r="G52" s="1017"/>
      <c r="H52" s="1012"/>
      <c r="I52" s="1010"/>
      <c r="K52" s="1013"/>
      <c r="L52" s="1014"/>
    </row>
    <row r="53" spans="1:8" ht="11.25" customHeight="1">
      <c r="A53" s="753"/>
      <c r="B53" s="754"/>
      <c r="C53" s="752"/>
      <c r="D53" s="752"/>
      <c r="E53" s="750"/>
      <c r="F53" s="752"/>
      <c r="G53" s="915"/>
      <c r="H53" s="916"/>
    </row>
    <row r="54" spans="1:12" s="732" customFormat="1" ht="15" customHeight="1">
      <c r="A54" s="753">
        <v>2</v>
      </c>
      <c r="B54" s="755" t="s">
        <v>1211</v>
      </c>
      <c r="C54" s="754"/>
      <c r="D54" s="754"/>
      <c r="E54" s="755"/>
      <c r="F54" s="754"/>
      <c r="G54" s="756"/>
      <c r="H54" s="757"/>
      <c r="I54" s="754"/>
      <c r="J54" s="732" t="s">
        <v>558</v>
      </c>
      <c r="K54" s="760"/>
      <c r="L54" s="761"/>
    </row>
    <row r="55" spans="1:12" s="732" customFormat="1" ht="9" customHeight="1">
      <c r="A55" s="753"/>
      <c r="B55" s="755"/>
      <c r="C55" s="754"/>
      <c r="D55" s="754"/>
      <c r="E55" s="755"/>
      <c r="F55" s="754"/>
      <c r="G55" s="756"/>
      <c r="H55" s="757"/>
      <c r="I55" s="754"/>
      <c r="K55" s="760"/>
      <c r="L55" s="761"/>
    </row>
    <row r="56" spans="1:12" s="732" customFormat="1" ht="15" customHeight="1">
      <c r="A56" s="905" t="s">
        <v>1587</v>
      </c>
      <c r="B56" s="755" t="s">
        <v>10</v>
      </c>
      <c r="C56" s="754"/>
      <c r="D56" s="754"/>
      <c r="E56" s="754"/>
      <c r="F56" s="754"/>
      <c r="G56" s="756" t="s">
        <v>1587</v>
      </c>
      <c r="H56" s="757"/>
      <c r="I56" s="754" t="s">
        <v>1587</v>
      </c>
      <c r="J56" s="732" t="s">
        <v>508</v>
      </c>
      <c r="K56" s="760"/>
      <c r="L56" s="761"/>
    </row>
    <row r="57" spans="1:12" s="732" customFormat="1" ht="7.5" customHeight="1">
      <c r="A57" s="753"/>
      <c r="B57" s="755"/>
      <c r="C57" s="754"/>
      <c r="D57" s="754"/>
      <c r="E57" s="754"/>
      <c r="F57" s="754"/>
      <c r="G57" s="756"/>
      <c r="H57" s="757"/>
      <c r="I57" s="754"/>
      <c r="J57" s="759" t="s">
        <v>615</v>
      </c>
      <c r="K57" s="760"/>
      <c r="L57" s="761"/>
    </row>
    <row r="58" spans="1:12" s="732" customFormat="1" ht="15" customHeight="1">
      <c r="A58" s="753"/>
      <c r="B58" s="776" t="s">
        <v>897</v>
      </c>
      <c r="C58" s="754"/>
      <c r="D58" s="754"/>
      <c r="E58" s="754"/>
      <c r="F58" s="754"/>
      <c r="G58" s="777">
        <f>I61</f>
        <v>12696</v>
      </c>
      <c r="H58" s="757"/>
      <c r="I58" s="754">
        <v>12696</v>
      </c>
      <c r="J58" s="732">
        <v>160134</v>
      </c>
      <c r="K58" s="760"/>
      <c r="L58" s="761"/>
    </row>
    <row r="59" spans="1:12" s="732" customFormat="1" ht="15" customHeight="1">
      <c r="A59" s="753"/>
      <c r="B59" s="776" t="s">
        <v>862</v>
      </c>
      <c r="C59" s="754"/>
      <c r="D59" s="754"/>
      <c r="E59" s="754"/>
      <c r="F59" s="754"/>
      <c r="G59" s="765">
        <v>147438</v>
      </c>
      <c r="H59" s="757"/>
      <c r="I59" s="757">
        <v>0</v>
      </c>
      <c r="K59" s="760"/>
      <c r="L59" s="761"/>
    </row>
    <row r="60" spans="1:12" s="732" customFormat="1" ht="9" customHeight="1">
      <c r="A60" s="753"/>
      <c r="B60" s="776"/>
      <c r="C60" s="754"/>
      <c r="D60" s="754"/>
      <c r="E60" s="754"/>
      <c r="F60" s="754"/>
      <c r="G60" s="765"/>
      <c r="H60" s="757"/>
      <c r="I60" s="757"/>
      <c r="K60" s="760"/>
      <c r="L60" s="761"/>
    </row>
    <row r="61" spans="1:12" s="732" customFormat="1" ht="15" customHeight="1" thickBot="1">
      <c r="A61" s="753"/>
      <c r="B61" s="776" t="s">
        <v>956</v>
      </c>
      <c r="C61" s="754"/>
      <c r="D61" s="754"/>
      <c r="E61" s="754"/>
      <c r="F61" s="754"/>
      <c r="G61" s="771">
        <f>SUM(G58:G59)</f>
        <v>160134</v>
      </c>
      <c r="H61" s="757" t="s">
        <v>1587</v>
      </c>
      <c r="I61" s="778">
        <f>SUM(I58:I59)</f>
        <v>12696</v>
      </c>
      <c r="K61" s="760"/>
      <c r="L61" s="761"/>
    </row>
    <row r="62" spans="1:12" s="732" customFormat="1" ht="12.75" customHeight="1" thickTop="1">
      <c r="A62" s="753"/>
      <c r="B62" s="776"/>
      <c r="C62" s="754"/>
      <c r="D62" s="754"/>
      <c r="E62" s="754"/>
      <c r="F62" s="754"/>
      <c r="G62" s="765"/>
      <c r="H62" s="757"/>
      <c r="I62" s="757"/>
      <c r="K62" s="760"/>
      <c r="L62" s="761"/>
    </row>
    <row r="63" spans="1:14" s="732" customFormat="1" ht="47.25" customHeight="1">
      <c r="A63" s="753"/>
      <c r="B63" s="1274" t="s">
        <v>72</v>
      </c>
      <c r="C63" s="1275"/>
      <c r="D63" s="1275"/>
      <c r="E63" s="1275"/>
      <c r="F63" s="776"/>
      <c r="G63" s="776"/>
      <c r="H63" s="776"/>
      <c r="I63" s="776"/>
      <c r="K63" s="760"/>
      <c r="L63" s="761"/>
      <c r="N63" s="732" t="s">
        <v>1587</v>
      </c>
    </row>
    <row r="64" spans="1:14" s="732" customFormat="1" ht="9.75" customHeight="1">
      <c r="A64" s="753"/>
      <c r="B64" s="776"/>
      <c r="C64" s="754"/>
      <c r="D64" s="754"/>
      <c r="E64" s="754"/>
      <c r="F64" s="754"/>
      <c r="G64" s="765"/>
      <c r="H64" s="757"/>
      <c r="I64" s="757"/>
      <c r="K64" s="760"/>
      <c r="L64" s="761"/>
      <c r="N64" s="732" t="s">
        <v>1587</v>
      </c>
    </row>
    <row r="65" spans="1:14" s="732" customFormat="1" ht="15">
      <c r="A65" s="753" t="s">
        <v>1587</v>
      </c>
      <c r="B65" s="755" t="s">
        <v>11</v>
      </c>
      <c r="C65" s="754"/>
      <c r="D65" s="754"/>
      <c r="E65" s="754"/>
      <c r="F65" s="754"/>
      <c r="G65" s="765"/>
      <c r="H65" s="757"/>
      <c r="I65" s="757"/>
      <c r="K65" s="760"/>
      <c r="L65" s="761"/>
      <c r="N65" s="732" t="s">
        <v>1587</v>
      </c>
    </row>
    <row r="66" spans="1:12" s="732" customFormat="1" ht="9" customHeight="1">
      <c r="A66" s="753"/>
      <c r="B66" s="755"/>
      <c r="C66" s="754"/>
      <c r="D66" s="754"/>
      <c r="E66" s="754"/>
      <c r="F66" s="754"/>
      <c r="G66" s="765"/>
      <c r="H66" s="757"/>
      <c r="I66" s="757"/>
      <c r="J66" s="759" t="s">
        <v>616</v>
      </c>
      <c r="K66" s="760"/>
      <c r="L66" s="761"/>
    </row>
    <row r="67" spans="1:12" s="732" customFormat="1" ht="15" customHeight="1">
      <c r="A67" s="753"/>
      <c r="B67" s="776" t="s">
        <v>897</v>
      </c>
      <c r="C67" s="754"/>
      <c r="D67" s="754"/>
      <c r="E67" s="754"/>
      <c r="F67" s="754"/>
      <c r="G67" s="777">
        <f>I70</f>
        <v>311284</v>
      </c>
      <c r="H67" s="757"/>
      <c r="I67" s="764">
        <v>300480</v>
      </c>
      <c r="J67" s="732" t="s">
        <v>264</v>
      </c>
      <c r="K67" s="760"/>
      <c r="L67" s="761"/>
    </row>
    <row r="68" spans="1:12" s="732" customFormat="1" ht="15" customHeight="1">
      <c r="A68" s="753"/>
      <c r="B68" s="776" t="s">
        <v>862</v>
      </c>
      <c r="C68" s="754"/>
      <c r="D68" s="754"/>
      <c r="E68" s="754"/>
      <c r="F68" s="754"/>
      <c r="G68" s="777">
        <v>11938</v>
      </c>
      <c r="H68" s="757"/>
      <c r="I68" s="764">
        <v>10804</v>
      </c>
      <c r="J68" s="758">
        <f>323222-G67</f>
        <v>11938</v>
      </c>
      <c r="K68" s="760"/>
      <c r="L68" s="761"/>
    </row>
    <row r="69" spans="1:12" s="732" customFormat="1" ht="9" customHeight="1">
      <c r="A69" s="753"/>
      <c r="B69" s="776"/>
      <c r="C69" s="754"/>
      <c r="D69" s="754"/>
      <c r="E69" s="754"/>
      <c r="F69" s="754"/>
      <c r="G69" s="777"/>
      <c r="H69" s="757"/>
      <c r="I69" s="764"/>
      <c r="J69" s="758"/>
      <c r="K69" s="760"/>
      <c r="L69" s="761"/>
    </row>
    <row r="70" spans="1:12" s="732" customFormat="1" ht="15" customHeight="1" thickBot="1">
      <c r="A70" s="753"/>
      <c r="B70" s="776" t="s">
        <v>956</v>
      </c>
      <c r="C70" s="754"/>
      <c r="D70" s="754"/>
      <c r="E70" s="754"/>
      <c r="F70" s="754"/>
      <c r="G70" s="771">
        <f>SUM(G67:G68)</f>
        <v>323222</v>
      </c>
      <c r="H70" s="757"/>
      <c r="I70" s="779">
        <v>311284</v>
      </c>
      <c r="K70" s="760"/>
      <c r="L70" s="761"/>
    </row>
    <row r="71" spans="1:12" s="732" customFormat="1" ht="9" customHeight="1" thickTop="1">
      <c r="A71" s="753"/>
      <c r="B71" s="776"/>
      <c r="C71" s="754"/>
      <c r="D71" s="754"/>
      <c r="E71" s="754"/>
      <c r="F71" s="754"/>
      <c r="G71" s="765"/>
      <c r="H71" s="757"/>
      <c r="I71" s="757"/>
      <c r="K71" s="760"/>
      <c r="L71" s="761"/>
    </row>
    <row r="72" spans="1:12" s="732" customFormat="1" ht="33" customHeight="1">
      <c r="A72" s="753"/>
      <c r="B72" s="1274" t="s">
        <v>938</v>
      </c>
      <c r="C72" s="1275"/>
      <c r="D72" s="1275"/>
      <c r="E72" s="1275"/>
      <c r="F72" s="776"/>
      <c r="G72" s="776"/>
      <c r="H72" s="776"/>
      <c r="I72" s="776"/>
      <c r="K72" s="760"/>
      <c r="L72" s="761"/>
    </row>
    <row r="73" spans="1:12" s="732" customFormat="1" ht="9" customHeight="1">
      <c r="A73" s="753"/>
      <c r="B73" s="776"/>
      <c r="C73" s="754"/>
      <c r="D73" s="754"/>
      <c r="E73" s="754"/>
      <c r="F73" s="754"/>
      <c r="G73" s="765"/>
      <c r="H73" s="757"/>
      <c r="I73" s="757"/>
      <c r="K73" s="760"/>
      <c r="L73" s="761"/>
    </row>
    <row r="74" spans="1:12" s="732" customFormat="1" ht="15">
      <c r="A74" s="753" t="s">
        <v>1587</v>
      </c>
      <c r="B74" s="755" t="s">
        <v>16</v>
      </c>
      <c r="C74" s="754"/>
      <c r="D74" s="754"/>
      <c r="E74" s="755"/>
      <c r="F74" s="754"/>
      <c r="G74" s="756"/>
      <c r="H74" s="757"/>
      <c r="I74" s="754"/>
      <c r="K74" s="760" t="s">
        <v>1587</v>
      </c>
      <c r="L74" s="761"/>
    </row>
    <row r="75" spans="1:12" s="732" customFormat="1" ht="15">
      <c r="A75" s="753"/>
      <c r="B75" s="776" t="s">
        <v>897</v>
      </c>
      <c r="C75" s="754"/>
      <c r="D75" s="754"/>
      <c r="E75" s="755"/>
      <c r="F75" s="754"/>
      <c r="G75" s="756">
        <f>I78</f>
        <v>71548786</v>
      </c>
      <c r="H75" s="757"/>
      <c r="I75" s="754">
        <v>0</v>
      </c>
      <c r="K75" s="760"/>
      <c r="L75" s="761"/>
    </row>
    <row r="76" spans="1:12" s="732" customFormat="1" ht="15">
      <c r="A76" s="753"/>
      <c r="B76" s="776" t="s">
        <v>862</v>
      </c>
      <c r="C76" s="754"/>
      <c r="D76" s="754"/>
      <c r="E76" s="755"/>
      <c r="F76" s="754"/>
      <c r="G76" s="756">
        <v>1951985</v>
      </c>
      <c r="H76" s="757"/>
      <c r="I76" s="754">
        <v>71548786</v>
      </c>
      <c r="J76" s="732" t="s">
        <v>662</v>
      </c>
      <c r="K76" s="760"/>
      <c r="L76" s="761"/>
    </row>
    <row r="77" spans="1:12" s="732" customFormat="1" ht="9" customHeight="1">
      <c r="A77" s="753"/>
      <c r="B77" s="776"/>
      <c r="C77" s="754"/>
      <c r="D77" s="754"/>
      <c r="E77" s="755"/>
      <c r="F77" s="754"/>
      <c r="G77" s="756"/>
      <c r="H77" s="757"/>
      <c r="I77" s="754"/>
      <c r="K77" s="760"/>
      <c r="L77" s="761"/>
    </row>
    <row r="78" spans="1:12" s="732" customFormat="1" ht="15.75" thickBot="1">
      <c r="A78" s="753"/>
      <c r="B78" s="776" t="s">
        <v>956</v>
      </c>
      <c r="C78" s="754"/>
      <c r="D78" s="754"/>
      <c r="E78" s="755"/>
      <c r="F78" s="754"/>
      <c r="G78" s="771">
        <f>SUM(G75:G76)</f>
        <v>73500771</v>
      </c>
      <c r="H78" s="757"/>
      <c r="I78" s="778">
        <f>SUM(I75:I76)</f>
        <v>71548786</v>
      </c>
      <c r="K78" s="760"/>
      <c r="L78" s="761"/>
    </row>
    <row r="79" spans="1:12" s="732" customFormat="1" ht="9" customHeight="1" thickTop="1">
      <c r="A79" s="753"/>
      <c r="B79" s="776"/>
      <c r="C79" s="754"/>
      <c r="D79" s="754"/>
      <c r="E79" s="755"/>
      <c r="F79" s="754"/>
      <c r="G79" s="780"/>
      <c r="H79" s="757"/>
      <c r="I79" s="757"/>
      <c r="K79" s="760"/>
      <c r="L79" s="761"/>
    </row>
    <row r="80" spans="1:12" s="732" customFormat="1" ht="15">
      <c r="A80" s="753"/>
      <c r="B80" s="782" t="s">
        <v>702</v>
      </c>
      <c r="C80" s="754"/>
      <c r="D80" s="754"/>
      <c r="E80" s="783"/>
      <c r="F80" s="754"/>
      <c r="G80" s="1060">
        <v>71548786</v>
      </c>
      <c r="H80" s="757"/>
      <c r="I80" s="916">
        <v>59042747</v>
      </c>
      <c r="K80" s="760"/>
      <c r="L80" s="761"/>
    </row>
    <row r="81" spans="1:12" s="732" customFormat="1" ht="15">
      <c r="A81" s="753"/>
      <c r="B81" s="784" t="s">
        <v>703</v>
      </c>
      <c r="C81" s="754"/>
      <c r="D81" s="754"/>
      <c r="E81" s="785"/>
      <c r="F81" s="754"/>
      <c r="G81" s="1061">
        <v>2541222</v>
      </c>
      <c r="H81" s="757"/>
      <c r="I81" s="916">
        <v>1895159</v>
      </c>
      <c r="K81" s="760"/>
      <c r="L81" s="761"/>
    </row>
    <row r="82" spans="1:12" s="732" customFormat="1" ht="15">
      <c r="A82" s="753"/>
      <c r="B82" s="784" t="s">
        <v>704</v>
      </c>
      <c r="C82" s="754"/>
      <c r="D82" s="754"/>
      <c r="E82" s="785"/>
      <c r="F82" s="754"/>
      <c r="G82" s="1061">
        <v>7596120</v>
      </c>
      <c r="H82" s="757"/>
      <c r="I82" s="916">
        <v>4800380</v>
      </c>
      <c r="K82" s="760"/>
      <c r="L82" s="761"/>
    </row>
    <row r="83" spans="1:12" s="732" customFormat="1" ht="15">
      <c r="A83" s="753"/>
      <c r="B83" s="784" t="s">
        <v>705</v>
      </c>
      <c r="C83" s="754"/>
      <c r="D83" s="754"/>
      <c r="E83" s="786"/>
      <c r="F83" s="754"/>
      <c r="G83" s="1061">
        <v>-2869500</v>
      </c>
      <c r="H83" s="757"/>
      <c r="I83" s="916">
        <v>-2690748</v>
      </c>
      <c r="K83" s="760"/>
      <c r="L83" s="761"/>
    </row>
    <row r="84" spans="1:12" s="732" customFormat="1" ht="15">
      <c r="A84" s="753"/>
      <c r="B84" s="784" t="s">
        <v>706</v>
      </c>
      <c r="C84" s="754"/>
      <c r="D84" s="754"/>
      <c r="E84" s="785"/>
      <c r="F84" s="754"/>
      <c r="G84" s="1061">
        <v>7267842</v>
      </c>
      <c r="H84" s="757"/>
      <c r="I84" s="916">
        <v>4004791</v>
      </c>
      <c r="K84" s="760"/>
      <c r="L84" s="761"/>
    </row>
    <row r="85" spans="1:12" s="732" customFormat="1" ht="15">
      <c r="A85" s="753"/>
      <c r="B85" s="784" t="s">
        <v>707</v>
      </c>
      <c r="C85" s="754"/>
      <c r="D85" s="754"/>
      <c r="E85" s="785"/>
      <c r="F85" s="754"/>
      <c r="G85" s="1061">
        <v>-5315857</v>
      </c>
      <c r="H85" s="757"/>
      <c r="I85" s="916">
        <v>8501248</v>
      </c>
      <c r="K85" s="760"/>
      <c r="L85" s="761"/>
    </row>
    <row r="86" spans="1:12" s="732" customFormat="1" ht="9" customHeight="1">
      <c r="A86" s="753"/>
      <c r="B86" s="784"/>
      <c r="C86" s="754"/>
      <c r="D86" s="754"/>
      <c r="E86" s="785"/>
      <c r="F86" s="754"/>
      <c r="G86" s="1061"/>
      <c r="H86" s="757"/>
      <c r="I86" s="916"/>
      <c r="K86" s="760"/>
      <c r="L86" s="761"/>
    </row>
    <row r="87" spans="1:12" s="732" customFormat="1" ht="15.75" thickBot="1">
      <c r="A87" s="753"/>
      <c r="B87" s="787" t="s">
        <v>708</v>
      </c>
      <c r="C87" s="754"/>
      <c r="D87" s="754"/>
      <c r="E87" s="783"/>
      <c r="F87" s="754"/>
      <c r="G87" s="1062">
        <v>73500771</v>
      </c>
      <c r="H87" s="757"/>
      <c r="I87" s="1196">
        <v>71548786</v>
      </c>
      <c r="K87" s="760"/>
      <c r="L87" s="761"/>
    </row>
    <row r="88" spans="1:12" s="732" customFormat="1" ht="15.75" thickTop="1">
      <c r="A88" s="753"/>
      <c r="B88" s="787"/>
      <c r="C88" s="754"/>
      <c r="D88" s="754"/>
      <c r="E88" s="783"/>
      <c r="F88" s="754"/>
      <c r="G88" s="1060"/>
      <c r="H88" s="757"/>
      <c r="I88" s="918"/>
      <c r="K88" s="760"/>
      <c r="L88" s="761"/>
    </row>
    <row r="89" spans="1:12" s="732" customFormat="1" ht="15">
      <c r="A89" s="753"/>
      <c r="B89" s="787"/>
      <c r="C89" s="754"/>
      <c r="D89" s="754"/>
      <c r="E89" s="783"/>
      <c r="F89" s="754"/>
      <c r="G89" s="1060"/>
      <c r="H89" s="757"/>
      <c r="I89" s="918"/>
      <c r="K89" s="760"/>
      <c r="L89" s="761"/>
    </row>
    <row r="90" spans="1:12" s="732" customFormat="1" ht="15">
      <c r="A90" s="753"/>
      <c r="B90" s="787"/>
      <c r="C90" s="754"/>
      <c r="D90" s="754"/>
      <c r="E90" s="783"/>
      <c r="F90" s="754"/>
      <c r="G90" s="1060"/>
      <c r="H90" s="757"/>
      <c r="I90" s="918"/>
      <c r="K90" s="760"/>
      <c r="L90" s="761"/>
    </row>
    <row r="91" spans="1:12" s="732" customFormat="1" ht="15">
      <c r="A91" s="753"/>
      <c r="B91" s="787"/>
      <c r="C91" s="754"/>
      <c r="D91" s="754"/>
      <c r="E91" s="783"/>
      <c r="F91" s="754"/>
      <c r="G91" s="1060"/>
      <c r="H91" s="757"/>
      <c r="I91" s="918"/>
      <c r="K91" s="760"/>
      <c r="L91" s="761"/>
    </row>
    <row r="92" spans="1:12" s="1136" customFormat="1" ht="24" customHeight="1">
      <c r="A92" s="1247" t="s">
        <v>1382</v>
      </c>
      <c r="B92" s="1247"/>
      <c r="C92" s="1247"/>
      <c r="D92" s="1247"/>
      <c r="E92" s="1247"/>
      <c r="F92" s="1247"/>
      <c r="G92" s="1247"/>
      <c r="H92" s="1247"/>
      <c r="I92" s="1247"/>
      <c r="K92" s="1137"/>
      <c r="L92" s="1138"/>
    </row>
    <row r="94" spans="1:12" s="732" customFormat="1" ht="9" customHeight="1">
      <c r="A94" s="753"/>
      <c r="B94" s="776"/>
      <c r="C94" s="754"/>
      <c r="D94" s="754"/>
      <c r="E94" s="755"/>
      <c r="F94" s="754"/>
      <c r="G94" s="780"/>
      <c r="H94" s="757"/>
      <c r="I94" s="757"/>
      <c r="K94" s="760"/>
      <c r="L94" s="761"/>
    </row>
    <row r="95" spans="1:12" s="732" customFormat="1" ht="9" customHeight="1">
      <c r="A95" s="753"/>
      <c r="B95" s="776"/>
      <c r="C95" s="754"/>
      <c r="D95" s="754"/>
      <c r="E95" s="755"/>
      <c r="F95" s="754"/>
      <c r="G95" s="780"/>
      <c r="H95" s="757"/>
      <c r="I95" s="757"/>
      <c r="K95" s="760"/>
      <c r="L95" s="761"/>
    </row>
    <row r="96" spans="1:12" s="732" customFormat="1" ht="51" customHeight="1">
      <c r="A96" s="753"/>
      <c r="B96" s="788" t="s">
        <v>709</v>
      </c>
      <c r="C96" s="754"/>
      <c r="D96" s="754"/>
      <c r="E96" s="755"/>
      <c r="F96" s="754"/>
      <c r="G96" s="780"/>
      <c r="H96" s="757"/>
      <c r="I96" s="757"/>
      <c r="K96" s="760"/>
      <c r="L96" s="761"/>
    </row>
    <row r="97" spans="1:12" s="732" customFormat="1" ht="51.75" customHeight="1">
      <c r="A97" s="753"/>
      <c r="B97" s="1023" t="s">
        <v>710</v>
      </c>
      <c r="C97" s="754"/>
      <c r="D97" s="754"/>
      <c r="E97" s="755"/>
      <c r="F97" s="754"/>
      <c r="G97" s="780"/>
      <c r="H97" s="757"/>
      <c r="I97" s="757"/>
      <c r="K97" s="760"/>
      <c r="L97" s="761"/>
    </row>
    <row r="98" spans="1:12" s="732" customFormat="1" ht="48.75" customHeight="1">
      <c r="A98" s="753"/>
      <c r="B98" s="1023" t="s">
        <v>116</v>
      </c>
      <c r="C98" s="754"/>
      <c r="D98" s="754"/>
      <c r="E98" s="755"/>
      <c r="F98" s="754"/>
      <c r="G98" s="780"/>
      <c r="H98" s="757"/>
      <c r="I98" s="757"/>
      <c r="K98" s="760"/>
      <c r="L98" s="761"/>
    </row>
    <row r="99" spans="1:12" s="732" customFormat="1" ht="9" customHeight="1">
      <c r="A99" s="753"/>
      <c r="B99" s="776"/>
      <c r="C99" s="754"/>
      <c r="D99" s="754"/>
      <c r="E99" s="755"/>
      <c r="F99" s="754"/>
      <c r="G99" s="780"/>
      <c r="H99" s="757"/>
      <c r="I99" s="757"/>
      <c r="K99" s="760"/>
      <c r="L99" s="761"/>
    </row>
    <row r="100" spans="1:12" s="732" customFormat="1" ht="15">
      <c r="A100" s="753"/>
      <c r="B100" s="787" t="s">
        <v>711</v>
      </c>
      <c r="C100" s="754"/>
      <c r="D100" s="754"/>
      <c r="E100" s="1063" t="s">
        <v>729</v>
      </c>
      <c r="F100" s="784"/>
      <c r="G100" s="784"/>
      <c r="H100" s="784"/>
      <c r="I100" s="744"/>
      <c r="K100" s="760"/>
      <c r="L100" s="761"/>
    </row>
    <row r="101" spans="1:12" s="732" customFormat="1" ht="15">
      <c r="A101" s="753"/>
      <c r="B101" s="784" t="s">
        <v>712</v>
      </c>
      <c r="C101" s="754"/>
      <c r="D101" s="754"/>
      <c r="E101" s="785">
        <v>32764000</v>
      </c>
      <c r="F101" s="784"/>
      <c r="G101" s="784"/>
      <c r="H101" s="784"/>
      <c r="I101" s="744"/>
      <c r="K101" s="760"/>
      <c r="L101" s="761"/>
    </row>
    <row r="102" spans="1:12" s="732" customFormat="1" ht="15">
      <c r="A102" s="753"/>
      <c r="B102" s="784" t="s">
        <v>713</v>
      </c>
      <c r="C102" s="754"/>
      <c r="D102" s="754"/>
      <c r="E102" s="785">
        <v>40736771</v>
      </c>
      <c r="F102" s="784"/>
      <c r="G102" s="784"/>
      <c r="H102" s="784"/>
      <c r="I102" s="744"/>
      <c r="K102" s="760"/>
      <c r="L102" s="761"/>
    </row>
    <row r="103" spans="1:12" s="732" customFormat="1" ht="15">
      <c r="A103" s="753"/>
      <c r="B103" s="784" t="s">
        <v>714</v>
      </c>
      <c r="C103" s="754"/>
      <c r="D103" s="754"/>
      <c r="E103" s="784"/>
      <c r="F103" s="784"/>
      <c r="G103" s="784"/>
      <c r="H103" s="784"/>
      <c r="I103" s="744"/>
      <c r="K103" s="760"/>
      <c r="L103" s="761"/>
    </row>
    <row r="104" spans="1:12" s="732" customFormat="1" ht="15">
      <c r="A104" s="753"/>
      <c r="B104" s="784" t="s">
        <v>715</v>
      </c>
      <c r="C104" s="754"/>
      <c r="D104" s="754"/>
      <c r="E104" s="784"/>
      <c r="F104" s="784"/>
      <c r="G104" s="784"/>
      <c r="H104" s="784"/>
      <c r="I104" s="744"/>
      <c r="K104" s="760"/>
      <c r="L104" s="761"/>
    </row>
    <row r="105" spans="1:12" s="732" customFormat="1" ht="15" hidden="1">
      <c r="A105" s="753"/>
      <c r="B105" s="784" t="s">
        <v>716</v>
      </c>
      <c r="C105" s="754"/>
      <c r="D105" s="754"/>
      <c r="E105" s="784">
        <v>0</v>
      </c>
      <c r="F105" s="784"/>
      <c r="G105" s="784"/>
      <c r="H105" s="784"/>
      <c r="I105" s="744"/>
      <c r="K105" s="760"/>
      <c r="L105" s="761"/>
    </row>
    <row r="106" spans="1:12" s="732" customFormat="1" ht="9" customHeight="1">
      <c r="A106" s="753"/>
      <c r="B106" s="784"/>
      <c r="C106" s="754"/>
      <c r="D106" s="754"/>
      <c r="E106" s="784"/>
      <c r="F106" s="784"/>
      <c r="G106" s="784"/>
      <c r="H106" s="784"/>
      <c r="I106" s="744"/>
      <c r="K106" s="760"/>
      <c r="L106" s="761"/>
    </row>
    <row r="107" spans="1:12" s="732" customFormat="1" ht="15.75" thickBot="1">
      <c r="A107" s="753"/>
      <c r="B107" s="787" t="s">
        <v>717</v>
      </c>
      <c r="C107" s="754"/>
      <c r="D107" s="754"/>
      <c r="E107" s="1156">
        <f>SUM(E101:E104)</f>
        <v>73500771</v>
      </c>
      <c r="F107" s="784"/>
      <c r="G107" s="784"/>
      <c r="H107" s="784"/>
      <c r="I107" s="744"/>
      <c r="K107" s="760"/>
      <c r="L107" s="761"/>
    </row>
    <row r="108" spans="1:12" s="732" customFormat="1" ht="9.75" customHeight="1" thickTop="1">
      <c r="A108" s="753"/>
      <c r="B108" s="784"/>
      <c r="C108" s="754"/>
      <c r="D108" s="754"/>
      <c r="E108" s="784"/>
      <c r="F108" s="784"/>
      <c r="G108" s="784"/>
      <c r="H108" s="784"/>
      <c r="I108" s="744"/>
      <c r="K108" s="760"/>
      <c r="L108" s="761"/>
    </row>
    <row r="109" spans="1:12" s="732" customFormat="1" ht="15">
      <c r="A109" s="753"/>
      <c r="B109" s="787" t="s">
        <v>718</v>
      </c>
      <c r="C109" s="754"/>
      <c r="D109" s="754"/>
      <c r="E109" s="1063" t="s">
        <v>730</v>
      </c>
      <c r="F109" s="799"/>
      <c r="G109" s="1063" t="s">
        <v>730</v>
      </c>
      <c r="H109" s="784"/>
      <c r="I109" s="744"/>
      <c r="K109" s="760"/>
      <c r="L109" s="761"/>
    </row>
    <row r="110" spans="1:12" s="732" customFormat="1" ht="15">
      <c r="A110" s="753"/>
      <c r="B110" s="784" t="s">
        <v>719</v>
      </c>
      <c r="C110" s="754"/>
      <c r="D110" s="754"/>
      <c r="E110" s="789">
        <v>0.1083</v>
      </c>
      <c r="G110" s="789">
        <v>0.0922</v>
      </c>
      <c r="H110" s="784"/>
      <c r="I110" s="744"/>
      <c r="K110" s="760"/>
      <c r="L110" s="761"/>
    </row>
    <row r="111" spans="1:12" s="732" customFormat="1" ht="15">
      <c r="A111" s="753"/>
      <c r="B111" s="784" t="s">
        <v>720</v>
      </c>
      <c r="C111" s="754"/>
      <c r="D111" s="754"/>
      <c r="E111" s="789">
        <v>0.0967</v>
      </c>
      <c r="G111" s="789">
        <v>0.0758</v>
      </c>
      <c r="H111" s="784"/>
      <c r="I111" s="744"/>
      <c r="K111" s="760"/>
      <c r="L111" s="761"/>
    </row>
    <row r="112" spans="1:12" s="732" customFormat="1" ht="15">
      <c r="A112" s="753"/>
      <c r="B112" s="784" t="s">
        <v>721</v>
      </c>
      <c r="C112" s="754"/>
      <c r="D112" s="754"/>
      <c r="E112" s="789">
        <v>0.0106</v>
      </c>
      <c r="G112" s="789">
        <v>0.0153</v>
      </c>
      <c r="H112" s="784"/>
      <c r="I112" s="744"/>
      <c r="K112" s="760"/>
      <c r="L112" s="761"/>
    </row>
    <row r="113" spans="1:12" s="732" customFormat="1" ht="12" customHeight="1">
      <c r="A113" s="753"/>
      <c r="B113" s="784"/>
      <c r="C113" s="754"/>
      <c r="D113" s="754"/>
      <c r="E113" s="784"/>
      <c r="F113" s="784"/>
      <c r="G113" s="784"/>
      <c r="H113" s="784"/>
      <c r="I113" s="744"/>
      <c r="K113" s="760"/>
      <c r="L113" s="761"/>
    </row>
    <row r="114" spans="1:12" s="732" customFormat="1" ht="15">
      <c r="A114" s="753"/>
      <c r="B114" s="787" t="s">
        <v>722</v>
      </c>
      <c r="C114" s="754"/>
      <c r="D114" s="754"/>
      <c r="E114" s="784"/>
      <c r="F114" s="784"/>
      <c r="G114" s="784"/>
      <c r="H114" s="784"/>
      <c r="I114" s="744"/>
      <c r="K114" s="760"/>
      <c r="L114" s="761"/>
    </row>
    <row r="115" spans="1:12" s="732" customFormat="1" ht="15">
      <c r="A115" s="753"/>
      <c r="B115" s="787" t="s">
        <v>718</v>
      </c>
      <c r="C115" s="1064" t="s">
        <v>731</v>
      </c>
      <c r="D115" s="828"/>
      <c r="E115" s="1063" t="s">
        <v>732</v>
      </c>
      <c r="F115" s="799"/>
      <c r="G115" s="1063" t="s">
        <v>733</v>
      </c>
      <c r="H115" s="1063" t="s">
        <v>734</v>
      </c>
      <c r="I115" s="1205" t="s">
        <v>735</v>
      </c>
      <c r="K115" s="760"/>
      <c r="L115" s="761"/>
    </row>
    <row r="116" spans="1:12" s="732" customFormat="1" ht="15">
      <c r="A116" s="753"/>
      <c r="B116" s="784" t="s">
        <v>723</v>
      </c>
      <c r="C116" s="790"/>
      <c r="D116" s="754"/>
      <c r="E116" s="791">
        <v>32.76</v>
      </c>
      <c r="G116" s="791">
        <v>40.74</v>
      </c>
      <c r="H116" s="791">
        <v>73.5</v>
      </c>
      <c r="I116" s="741"/>
      <c r="K116" s="760"/>
      <c r="L116" s="761"/>
    </row>
    <row r="117" spans="1:12" s="732" customFormat="1" ht="15">
      <c r="A117" s="753"/>
      <c r="B117" s="784" t="s">
        <v>724</v>
      </c>
      <c r="C117" s="792">
        <v>0.01</v>
      </c>
      <c r="D117" s="754"/>
      <c r="E117" s="791">
        <v>39.65</v>
      </c>
      <c r="G117" s="791">
        <v>44.86</v>
      </c>
      <c r="H117" s="791">
        <v>84.505</v>
      </c>
      <c r="I117" s="1169">
        <v>0.15</v>
      </c>
      <c r="K117" s="760"/>
      <c r="L117" s="761"/>
    </row>
    <row r="118" spans="1:12" s="732" customFormat="1" ht="15">
      <c r="A118" s="753"/>
      <c r="B118" s="784"/>
      <c r="C118" s="792">
        <v>-0.01</v>
      </c>
      <c r="D118" s="754"/>
      <c r="E118" s="791">
        <v>27.31</v>
      </c>
      <c r="G118" s="791">
        <v>37.18</v>
      </c>
      <c r="H118" s="791">
        <v>64.49</v>
      </c>
      <c r="I118" s="1169">
        <v>-0.12</v>
      </c>
      <c r="K118" s="760"/>
      <c r="L118" s="761"/>
    </row>
    <row r="119" spans="1:12" s="732" customFormat="1" ht="15">
      <c r="A119" s="753"/>
      <c r="B119" s="784" t="s">
        <v>725</v>
      </c>
      <c r="C119" s="790" t="s">
        <v>736</v>
      </c>
      <c r="D119" s="754"/>
      <c r="E119" s="791">
        <v>33.83</v>
      </c>
      <c r="G119" s="791">
        <v>42.28</v>
      </c>
      <c r="H119" s="791">
        <v>76.1</v>
      </c>
      <c r="I119" s="1169">
        <v>0.04</v>
      </c>
      <c r="K119" s="760"/>
      <c r="L119" s="761"/>
    </row>
    <row r="120" spans="1:12" s="732" customFormat="1" ht="15">
      <c r="A120" s="753"/>
      <c r="B120" s="784" t="s">
        <v>726</v>
      </c>
      <c r="C120" s="790" t="s">
        <v>736</v>
      </c>
      <c r="D120" s="754"/>
      <c r="E120" s="791">
        <v>35.78</v>
      </c>
      <c r="G120" s="791">
        <v>40.74</v>
      </c>
      <c r="H120" s="791">
        <v>76.52</v>
      </c>
      <c r="I120" s="1169">
        <v>0.04</v>
      </c>
      <c r="K120" s="760"/>
      <c r="L120" s="761"/>
    </row>
    <row r="121" spans="1:12" s="732" customFormat="1" ht="15">
      <c r="A121" s="753"/>
      <c r="B121" s="784" t="s">
        <v>727</v>
      </c>
      <c r="C121" s="792">
        <v>-0.5</v>
      </c>
      <c r="D121" s="754"/>
      <c r="E121" s="791">
        <v>36.27</v>
      </c>
      <c r="G121" s="791">
        <v>40.74</v>
      </c>
      <c r="H121" s="791">
        <v>77</v>
      </c>
      <c r="I121" s="1169">
        <v>0.05</v>
      </c>
      <c r="K121" s="760"/>
      <c r="L121" s="761"/>
    </row>
    <row r="122" spans="1:12" s="732" customFormat="1" ht="15">
      <c r="A122" s="753"/>
      <c r="B122" s="784"/>
      <c r="C122" s="754"/>
      <c r="D122" s="754"/>
      <c r="E122" s="784"/>
      <c r="F122" s="784"/>
      <c r="G122" s="784"/>
      <c r="H122" s="784"/>
      <c r="I122" s="744"/>
      <c r="K122" s="760"/>
      <c r="L122" s="761"/>
    </row>
    <row r="123" spans="1:12" s="732" customFormat="1" ht="15">
      <c r="A123" s="753"/>
      <c r="B123" s="787" t="s">
        <v>728</v>
      </c>
      <c r="C123" s="754"/>
      <c r="D123" s="754"/>
      <c r="E123" s="784"/>
      <c r="F123" s="784"/>
      <c r="G123" s="784"/>
      <c r="H123" s="784"/>
      <c r="I123" s="744"/>
      <c r="K123" s="760"/>
      <c r="L123" s="761"/>
    </row>
    <row r="124" spans="1:12" s="732" customFormat="1" ht="45">
      <c r="A124" s="753"/>
      <c r="B124" s="787" t="s">
        <v>718</v>
      </c>
      <c r="C124" s="1064" t="s">
        <v>731</v>
      </c>
      <c r="D124" s="754"/>
      <c r="E124" s="1206" t="s">
        <v>139</v>
      </c>
      <c r="G124" s="1063" t="s">
        <v>704</v>
      </c>
      <c r="H124" s="1063" t="s">
        <v>734</v>
      </c>
      <c r="I124" s="1205" t="s">
        <v>735</v>
      </c>
      <c r="K124" s="760"/>
      <c r="L124" s="761"/>
    </row>
    <row r="125" spans="1:12" s="732" customFormat="1" ht="15">
      <c r="A125" s="753"/>
      <c r="B125" s="784" t="s">
        <v>723</v>
      </c>
      <c r="C125" s="784"/>
      <c r="D125" s="754"/>
      <c r="E125" s="785">
        <v>2541200</v>
      </c>
      <c r="G125" s="785">
        <v>7596100</v>
      </c>
      <c r="H125" s="785">
        <v>10137300</v>
      </c>
      <c r="I125" s="744"/>
      <c r="K125" s="760"/>
      <c r="L125" s="761"/>
    </row>
    <row r="126" spans="1:12" s="732" customFormat="1" ht="15">
      <c r="A126" s="753"/>
      <c r="B126" s="784" t="s">
        <v>724</v>
      </c>
      <c r="C126" s="793">
        <v>0.01</v>
      </c>
      <c r="D126" s="754"/>
      <c r="E126" s="785">
        <v>3131700</v>
      </c>
      <c r="G126" s="785">
        <v>8780200</v>
      </c>
      <c r="H126" s="785">
        <v>11911900</v>
      </c>
      <c r="I126" s="1170">
        <v>0.18</v>
      </c>
      <c r="K126" s="760"/>
      <c r="L126" s="761"/>
    </row>
    <row r="127" spans="1:12" s="732" customFormat="1" ht="15">
      <c r="A127" s="753"/>
      <c r="B127" s="784"/>
      <c r="C127" s="793">
        <v>-0.01</v>
      </c>
      <c r="D127" s="754"/>
      <c r="E127" s="785">
        <v>2083300</v>
      </c>
      <c r="G127" s="785">
        <v>6628700</v>
      </c>
      <c r="H127" s="785">
        <v>8712000</v>
      </c>
      <c r="I127" s="1170">
        <v>-0.14</v>
      </c>
      <c r="K127" s="760"/>
      <c r="L127" s="761"/>
    </row>
    <row r="128" spans="1:12" s="732" customFormat="1" ht="15">
      <c r="A128" s="753"/>
      <c r="B128" s="784" t="s">
        <v>725</v>
      </c>
      <c r="C128" s="790" t="s">
        <v>736</v>
      </c>
      <c r="D128" s="754"/>
      <c r="E128" s="785">
        <v>2624800</v>
      </c>
      <c r="G128" s="785">
        <v>7878600</v>
      </c>
      <c r="H128" s="785">
        <v>10503400</v>
      </c>
      <c r="I128" s="1170">
        <v>0.04</v>
      </c>
      <c r="K128" s="760"/>
      <c r="L128" s="761"/>
    </row>
    <row r="129" spans="1:12" s="732" customFormat="1" ht="15">
      <c r="A129" s="753"/>
      <c r="B129" s="784" t="s">
        <v>726</v>
      </c>
      <c r="C129" s="790" t="s">
        <v>736</v>
      </c>
      <c r="D129" s="754"/>
      <c r="E129" s="785">
        <v>2799600</v>
      </c>
      <c r="G129" s="785">
        <v>7889800</v>
      </c>
      <c r="H129" s="785">
        <v>10689400</v>
      </c>
      <c r="I129" s="1170">
        <v>0.05</v>
      </c>
      <c r="K129" s="760"/>
      <c r="L129" s="761"/>
    </row>
    <row r="130" spans="1:12" s="732" customFormat="1" ht="15">
      <c r="A130" s="753"/>
      <c r="B130" s="784" t="s">
        <v>727</v>
      </c>
      <c r="C130" s="793">
        <v>-0.5</v>
      </c>
      <c r="D130" s="754"/>
      <c r="E130" s="785">
        <v>2990100</v>
      </c>
      <c r="G130" s="785">
        <v>7992900</v>
      </c>
      <c r="H130" s="785">
        <v>10983000</v>
      </c>
      <c r="I130" s="1170">
        <v>0.08</v>
      </c>
      <c r="K130" s="760"/>
      <c r="L130" s="761"/>
    </row>
    <row r="131" spans="1:12" s="732" customFormat="1" ht="15">
      <c r="A131" s="753"/>
      <c r="B131" s="776"/>
      <c r="C131" s="754"/>
      <c r="D131" s="754"/>
      <c r="E131" s="755"/>
      <c r="F131" s="754"/>
      <c r="G131" s="780"/>
      <c r="H131" s="757"/>
      <c r="I131" s="757"/>
      <c r="K131" s="760"/>
      <c r="L131" s="761"/>
    </row>
    <row r="132" spans="1:12" s="732" customFormat="1" ht="15">
      <c r="A132" s="753"/>
      <c r="B132" s="755" t="s">
        <v>33</v>
      </c>
      <c r="C132" s="754"/>
      <c r="D132" s="754"/>
      <c r="E132" s="755"/>
      <c r="F132" s="754"/>
      <c r="G132" s="780"/>
      <c r="H132" s="757"/>
      <c r="I132" s="757"/>
      <c r="K132" s="760"/>
      <c r="L132" s="761"/>
    </row>
    <row r="133" spans="1:12" s="732" customFormat="1" ht="15">
      <c r="A133" s="753"/>
      <c r="B133" s="776" t="s">
        <v>897</v>
      </c>
      <c r="C133" s="754"/>
      <c r="D133" s="754"/>
      <c r="E133" s="755"/>
      <c r="F133" s="754"/>
      <c r="G133" s="754">
        <v>0</v>
      </c>
      <c r="H133" s="757"/>
      <c r="I133" s="754">
        <v>0</v>
      </c>
      <c r="K133" s="760"/>
      <c r="L133" s="761"/>
    </row>
    <row r="134" spans="1:12" s="732" customFormat="1" ht="15">
      <c r="A134" s="753"/>
      <c r="B134" s="776" t="s">
        <v>862</v>
      </c>
      <c r="C134" s="754"/>
      <c r="D134" s="754"/>
      <c r="E134" s="755"/>
      <c r="F134" s="754"/>
      <c r="G134" s="756">
        <v>19692141</v>
      </c>
      <c r="H134" s="757"/>
      <c r="I134" s="754">
        <v>0</v>
      </c>
      <c r="J134" s="732" t="s">
        <v>663</v>
      </c>
      <c r="K134" s="760"/>
      <c r="L134" s="761"/>
    </row>
    <row r="135" spans="1:12" s="732" customFormat="1" ht="9" customHeight="1">
      <c r="A135" s="753"/>
      <c r="B135" s="776"/>
      <c r="C135" s="754"/>
      <c r="D135" s="754"/>
      <c r="E135" s="755"/>
      <c r="F135" s="754"/>
      <c r="G135" s="756"/>
      <c r="H135" s="757"/>
      <c r="I135" s="754"/>
      <c r="K135" s="760"/>
      <c r="L135" s="761"/>
    </row>
    <row r="136" spans="1:12" s="732" customFormat="1" ht="15.75" thickBot="1">
      <c r="A136" s="753"/>
      <c r="B136" s="776" t="s">
        <v>956</v>
      </c>
      <c r="C136" s="754"/>
      <c r="D136" s="754"/>
      <c r="E136" s="755"/>
      <c r="F136" s="754"/>
      <c r="G136" s="771">
        <f>SUM(G133:G134)</f>
        <v>19692141</v>
      </c>
      <c r="H136" s="757"/>
      <c r="I136" s="855">
        <f>SUM(I133:I134)</f>
        <v>0</v>
      </c>
      <c r="K136" s="760"/>
      <c r="L136" s="761"/>
    </row>
    <row r="137" spans="1:12" s="732" customFormat="1" ht="9" customHeight="1" thickTop="1">
      <c r="A137" s="753"/>
      <c r="B137" s="776"/>
      <c r="C137" s="754"/>
      <c r="D137" s="754"/>
      <c r="E137" s="755"/>
      <c r="F137" s="754"/>
      <c r="G137" s="780"/>
      <c r="H137" s="757"/>
      <c r="I137" s="757"/>
      <c r="K137" s="760"/>
      <c r="L137" s="761"/>
    </row>
    <row r="138" spans="1:12" s="732" customFormat="1" ht="33" customHeight="1">
      <c r="A138" s="753"/>
      <c r="B138" s="1274" t="s">
        <v>37</v>
      </c>
      <c r="C138" s="1275"/>
      <c r="D138" s="1275"/>
      <c r="E138" s="1275"/>
      <c r="F138" s="754"/>
      <c r="G138" s="780"/>
      <c r="H138" s="757"/>
      <c r="I138" s="757"/>
      <c r="K138" s="760"/>
      <c r="L138" s="761"/>
    </row>
    <row r="139" spans="1:12" s="732" customFormat="1" ht="9" customHeight="1">
      <c r="A139" s="753"/>
      <c r="C139" s="754"/>
      <c r="D139" s="754"/>
      <c r="E139" s="755"/>
      <c r="F139" s="754"/>
      <c r="G139" s="756"/>
      <c r="H139" s="757"/>
      <c r="I139" s="754"/>
      <c r="K139" s="760">
        <f>'Grap Balance Sheet'!F18</f>
        <v>71872766</v>
      </c>
      <c r="L139" s="761"/>
    </row>
    <row r="140" spans="1:12" s="732" customFormat="1" ht="15.75" thickBot="1">
      <c r="A140" s="753"/>
      <c r="B140" s="755" t="s">
        <v>757</v>
      </c>
      <c r="C140" s="755"/>
      <c r="D140" s="755"/>
      <c r="E140" s="755"/>
      <c r="F140" s="755"/>
      <c r="G140" s="771">
        <f>G87+G70+G61+G136</f>
        <v>93676268</v>
      </c>
      <c r="H140" s="781"/>
      <c r="I140" s="771">
        <f>I87+I70+I61+I136</f>
        <v>71872766</v>
      </c>
      <c r="K140" s="760">
        <f>'Grap Balance Sheet'!D18</f>
        <v>93676268</v>
      </c>
      <c r="L140" s="761"/>
    </row>
    <row r="141" ht="14.25" customHeight="1" thickTop="1"/>
    <row r="142" spans="1:12" s="732" customFormat="1" ht="15">
      <c r="A142" s="753">
        <v>3</v>
      </c>
      <c r="B142" s="795" t="s">
        <v>1203</v>
      </c>
      <c r="C142" s="755"/>
      <c r="D142" s="755"/>
      <c r="E142" s="755"/>
      <c r="F142" s="755"/>
      <c r="G142" s="796"/>
      <c r="H142" s="781"/>
      <c r="I142" s="754"/>
      <c r="J142" s="732" t="s">
        <v>560</v>
      </c>
      <c r="K142" s="760">
        <v>-39689001.5</v>
      </c>
      <c r="L142" s="761" t="s">
        <v>754</v>
      </c>
    </row>
    <row r="143" spans="1:12" s="732" customFormat="1" ht="15">
      <c r="A143" s="753"/>
      <c r="B143" s="776"/>
      <c r="C143" s="754"/>
      <c r="D143" s="754"/>
      <c r="E143" s="755"/>
      <c r="F143" s="754"/>
      <c r="G143" s="756"/>
      <c r="H143" s="757"/>
      <c r="I143" s="754"/>
      <c r="K143" s="760">
        <v>7267406.33</v>
      </c>
      <c r="L143" s="761" t="s">
        <v>635</v>
      </c>
    </row>
    <row r="144" spans="1:12" s="732" customFormat="1" ht="15">
      <c r="A144" s="753"/>
      <c r="B144" s="776" t="s">
        <v>969</v>
      </c>
      <c r="C144" s="754"/>
      <c r="D144" s="754"/>
      <c r="E144" s="755"/>
      <c r="F144" s="754"/>
      <c r="G144" s="756">
        <v>32421595</v>
      </c>
      <c r="H144" s="757"/>
      <c r="I144" s="754">
        <v>30817227</v>
      </c>
      <c r="J144" s="732" t="s">
        <v>265</v>
      </c>
      <c r="K144" s="760">
        <f>SUM(K142:K143)</f>
        <v>-32421595.17</v>
      </c>
      <c r="L144" s="761"/>
    </row>
    <row r="145" spans="1:12" s="732" customFormat="1" ht="9" customHeight="1">
      <c r="A145" s="753"/>
      <c r="B145" s="776"/>
      <c r="C145" s="754"/>
      <c r="D145" s="754"/>
      <c r="E145" s="755"/>
      <c r="F145" s="754"/>
      <c r="G145" s="756"/>
      <c r="H145" s="757"/>
      <c r="I145" s="754"/>
      <c r="K145" s="760"/>
      <c r="L145" s="761"/>
    </row>
    <row r="146" spans="1:12" s="732" customFormat="1" ht="15.75" thickBot="1">
      <c r="A146" s="753"/>
      <c r="B146" s="795"/>
      <c r="C146" s="755"/>
      <c r="D146" s="755"/>
      <c r="E146" s="755"/>
      <c r="F146" s="755"/>
      <c r="G146" s="771">
        <f>SUM(G144:G145)</f>
        <v>32421595</v>
      </c>
      <c r="H146" s="781"/>
      <c r="I146" s="778">
        <f>SUM(I144:I145)</f>
        <v>30817227</v>
      </c>
      <c r="J146" s="732">
        <v>396</v>
      </c>
      <c r="K146" s="760"/>
      <c r="L146" s="761"/>
    </row>
    <row r="147" spans="1:12" s="732" customFormat="1" ht="12" customHeight="1" thickTop="1">
      <c r="A147" s="753"/>
      <c r="B147" s="795"/>
      <c r="C147" s="755"/>
      <c r="D147" s="755"/>
      <c r="E147" s="755"/>
      <c r="F147" s="755"/>
      <c r="G147" s="780"/>
      <c r="H147" s="781"/>
      <c r="I147" s="757"/>
      <c r="K147" s="760"/>
      <c r="L147" s="761"/>
    </row>
    <row r="148" spans="1:12" s="732" customFormat="1" ht="34.5" customHeight="1">
      <c r="A148" s="753"/>
      <c r="B148" s="1249" t="s">
        <v>756</v>
      </c>
      <c r="C148" s="1249"/>
      <c r="D148" s="1249"/>
      <c r="E148" s="1249"/>
      <c r="F148" s="795"/>
      <c r="G148" s="780"/>
      <c r="H148" s="781"/>
      <c r="I148" s="757"/>
      <c r="J148" s="797" t="s">
        <v>559</v>
      </c>
      <c r="K148" s="760"/>
      <c r="L148" s="761"/>
    </row>
    <row r="149" spans="1:12" s="732" customFormat="1" ht="15">
      <c r="A149" s="753">
        <v>4</v>
      </c>
      <c r="B149" s="795" t="s">
        <v>1207</v>
      </c>
      <c r="C149" s="754"/>
      <c r="D149" s="754"/>
      <c r="E149" s="755"/>
      <c r="F149" s="754"/>
      <c r="G149" s="796"/>
      <c r="H149" s="781"/>
      <c r="I149" s="754"/>
      <c r="J149" s="732" t="s">
        <v>1587</v>
      </c>
      <c r="K149" s="760"/>
      <c r="L149" s="761"/>
    </row>
    <row r="150" spans="1:12" s="732" customFormat="1" ht="9" customHeight="1">
      <c r="A150" s="753"/>
      <c r="B150" s="795"/>
      <c r="C150" s="754"/>
      <c r="D150" s="754"/>
      <c r="E150" s="755"/>
      <c r="F150" s="754"/>
      <c r="G150" s="796"/>
      <c r="H150" s="781"/>
      <c r="I150" s="754"/>
      <c r="K150" s="760"/>
      <c r="L150" s="761"/>
    </row>
    <row r="151" spans="1:12" s="732" customFormat="1" ht="15">
      <c r="A151" s="798">
        <v>4.1</v>
      </c>
      <c r="B151" s="795" t="s">
        <v>1608</v>
      </c>
      <c r="C151" s="754"/>
      <c r="D151" s="754"/>
      <c r="E151" s="755"/>
      <c r="F151" s="754"/>
      <c r="G151" s="796"/>
      <c r="H151" s="781"/>
      <c r="I151" s="754"/>
      <c r="K151" s="760"/>
      <c r="L151" s="761"/>
    </row>
    <row r="152" spans="1:12" s="732" customFormat="1" ht="9" customHeight="1">
      <c r="A152" s="798"/>
      <c r="B152" s="795"/>
      <c r="C152" s="754"/>
      <c r="D152" s="754"/>
      <c r="E152" s="755"/>
      <c r="F152" s="754"/>
      <c r="G152" s="796"/>
      <c r="H152" s="781"/>
      <c r="I152" s="754"/>
      <c r="J152" s="732" t="s">
        <v>74</v>
      </c>
      <c r="K152" s="760"/>
      <c r="L152" s="761"/>
    </row>
    <row r="153" spans="1:14" s="732" customFormat="1" ht="15">
      <c r="A153" s="799"/>
      <c r="B153" s="776" t="s">
        <v>1208</v>
      </c>
      <c r="C153" s="754"/>
      <c r="D153" s="754"/>
      <c r="E153" s="755"/>
      <c r="F153" s="754"/>
      <c r="G153" s="1068">
        <f>92464021-16534</f>
        <v>92447487</v>
      </c>
      <c r="I153" s="1070">
        <f>62857549-1</f>
        <v>62857548</v>
      </c>
      <c r="J153" s="732" t="s">
        <v>266</v>
      </c>
      <c r="K153" s="760">
        <f>G153</f>
        <v>92447487</v>
      </c>
      <c r="L153" s="761"/>
      <c r="M153" s="758">
        <f>I153</f>
        <v>62857548</v>
      </c>
      <c r="N153" s="1070">
        <f>50026242-842111</f>
        <v>49184131</v>
      </c>
    </row>
    <row r="154" spans="1:14" s="732" customFormat="1" ht="15">
      <c r="A154" s="753"/>
      <c r="B154" s="776" t="s">
        <v>1210</v>
      </c>
      <c r="C154" s="754"/>
      <c r="D154" s="754"/>
      <c r="E154" s="755"/>
      <c r="F154" s="754"/>
      <c r="G154" s="1065">
        <v>871375</v>
      </c>
      <c r="I154" s="1069">
        <v>2552461</v>
      </c>
      <c r="J154" s="732" t="s">
        <v>267</v>
      </c>
      <c r="K154" s="760">
        <f>G154</f>
        <v>871375</v>
      </c>
      <c r="L154" s="761"/>
      <c r="M154" s="758">
        <f>I154</f>
        <v>2552461</v>
      </c>
      <c r="N154" s="1069">
        <v>3244945</v>
      </c>
    </row>
    <row r="155" spans="1:14" s="732" customFormat="1" ht="15">
      <c r="A155" s="753"/>
      <c r="B155" s="776" t="s">
        <v>958</v>
      </c>
      <c r="C155" s="754"/>
      <c r="D155" s="754"/>
      <c r="E155" s="755"/>
      <c r="F155" s="754"/>
      <c r="G155" s="1065">
        <v>126479</v>
      </c>
      <c r="I155" s="1069">
        <v>25486529</v>
      </c>
      <c r="J155" s="732" t="s">
        <v>562</v>
      </c>
      <c r="K155" s="760">
        <f>G155</f>
        <v>126479</v>
      </c>
      <c r="L155" s="761"/>
      <c r="M155" s="758">
        <f>I155</f>
        <v>25486529</v>
      </c>
      <c r="N155" s="1069">
        <v>25552558</v>
      </c>
    </row>
    <row r="156" spans="1:14" s="732" customFormat="1" ht="15">
      <c r="A156" s="753"/>
      <c r="B156" s="776" t="s">
        <v>289</v>
      </c>
      <c r="C156" s="754"/>
      <c r="D156" s="754"/>
      <c r="E156" s="755"/>
      <c r="F156" s="754"/>
      <c r="G156" s="1065">
        <v>3282042</v>
      </c>
      <c r="I156" s="1069">
        <v>1644976</v>
      </c>
      <c r="K156" s="760">
        <f>G156</f>
        <v>3282042</v>
      </c>
      <c r="L156" s="761"/>
      <c r="M156" s="758">
        <f>I156</f>
        <v>1644976</v>
      </c>
      <c r="N156" s="1069">
        <v>1644976</v>
      </c>
    </row>
    <row r="157" spans="1:14" s="732" customFormat="1" ht="15">
      <c r="A157" s="753"/>
      <c r="B157" s="1273" t="s">
        <v>645</v>
      </c>
      <c r="C157" s="1276"/>
      <c r="D157" s="754"/>
      <c r="E157" s="755"/>
      <c r="F157" s="754"/>
      <c r="G157" s="1065">
        <v>115990</v>
      </c>
      <c r="I157" s="1065">
        <v>94128</v>
      </c>
      <c r="J157" s="732" t="s">
        <v>95</v>
      </c>
      <c r="K157" s="760"/>
      <c r="L157" s="761"/>
      <c r="N157" s="1065">
        <v>94128</v>
      </c>
    </row>
    <row r="158" spans="1:14" s="732" customFormat="1" ht="15">
      <c r="A158" s="753"/>
      <c r="B158" s="776" t="s">
        <v>1692</v>
      </c>
      <c r="C158" s="754"/>
      <c r="D158" s="754"/>
      <c r="E158" s="755"/>
      <c r="F158" s="754"/>
      <c r="G158" s="1065">
        <v>0</v>
      </c>
      <c r="I158" s="1069">
        <v>481229</v>
      </c>
      <c r="J158" s="732" t="s">
        <v>441</v>
      </c>
      <c r="K158" s="760">
        <f>G164</f>
        <v>0</v>
      </c>
      <c r="L158" s="761"/>
      <c r="N158" s="1069">
        <v>481229</v>
      </c>
    </row>
    <row r="159" spans="1:14" s="732" customFormat="1" ht="15">
      <c r="A159" s="753"/>
      <c r="B159" s="776" t="s">
        <v>177</v>
      </c>
      <c r="C159" s="754"/>
      <c r="D159" s="754"/>
      <c r="E159" s="755"/>
      <c r="F159" s="754"/>
      <c r="G159" s="1065">
        <v>1731403</v>
      </c>
      <c r="I159" s="1069">
        <v>1251244</v>
      </c>
      <c r="J159" s="732">
        <v>8310</v>
      </c>
      <c r="K159" s="760"/>
      <c r="L159" s="761"/>
      <c r="N159" s="1069">
        <v>1251244</v>
      </c>
    </row>
    <row r="160" spans="1:14" s="732" customFormat="1" ht="15.75" thickBot="1">
      <c r="A160" s="753"/>
      <c r="B160" s="1273" t="s">
        <v>293</v>
      </c>
      <c r="C160" s="1276"/>
      <c r="D160" s="754"/>
      <c r="E160" s="755"/>
      <c r="F160" s="754"/>
      <c r="G160" s="1068">
        <f>I315</f>
        <v>21272687</v>
      </c>
      <c r="I160" s="1070">
        <v>27157454</v>
      </c>
      <c r="J160" s="732" t="s">
        <v>315</v>
      </c>
      <c r="K160" s="800">
        <f>SUM(K153:K158)</f>
        <v>96727383</v>
      </c>
      <c r="L160" s="761" t="s">
        <v>565</v>
      </c>
      <c r="M160" s="801">
        <f>SUM(M153:M159)</f>
        <v>92541514</v>
      </c>
      <c r="N160" s="1070">
        <v>27157454</v>
      </c>
    </row>
    <row r="161" spans="1:14" s="732" customFormat="1" ht="15.75" thickTop="1">
      <c r="A161" s="753"/>
      <c r="B161" s="776" t="s">
        <v>290</v>
      </c>
      <c r="C161" s="754"/>
      <c r="D161" s="754"/>
      <c r="E161" s="755"/>
      <c r="F161" s="754"/>
      <c r="G161" s="1065">
        <f>G434</f>
        <v>12141903</v>
      </c>
      <c r="I161" s="1069">
        <v>5543523</v>
      </c>
      <c r="J161" s="732" t="s">
        <v>312</v>
      </c>
      <c r="K161" s="760">
        <v>92946491</v>
      </c>
      <c r="L161" s="761"/>
      <c r="N161" s="1069">
        <v>5543523</v>
      </c>
    </row>
    <row r="162" spans="1:14" s="732" customFormat="1" ht="15">
      <c r="A162" s="753"/>
      <c r="B162" s="1273" t="s">
        <v>930</v>
      </c>
      <c r="C162" s="1276"/>
      <c r="D162" s="754"/>
      <c r="E162" s="755"/>
      <c r="F162" s="754"/>
      <c r="G162" s="1068">
        <f>G245</f>
        <v>0</v>
      </c>
      <c r="I162" s="1070">
        <v>23223</v>
      </c>
      <c r="J162" s="732" t="s">
        <v>314</v>
      </c>
      <c r="K162" s="760">
        <f>K160-K161</f>
        <v>3780892</v>
      </c>
      <c r="L162" s="761"/>
      <c r="N162" s="1070">
        <v>23223</v>
      </c>
    </row>
    <row r="163" spans="1:14" s="732" customFormat="1" ht="15">
      <c r="A163" s="753"/>
      <c r="B163" s="1273" t="s">
        <v>291</v>
      </c>
      <c r="C163" s="1276"/>
      <c r="D163" s="754"/>
      <c r="E163" s="755"/>
      <c r="F163" s="754"/>
      <c r="G163" s="1068">
        <f>G398</f>
        <v>726496</v>
      </c>
      <c r="I163" s="1070">
        <v>6935982</v>
      </c>
      <c r="J163" s="732" t="s">
        <v>313</v>
      </c>
      <c r="K163" s="760"/>
      <c r="L163" s="761"/>
      <c r="N163" s="1070">
        <v>6935982</v>
      </c>
    </row>
    <row r="164" spans="1:14" s="732" customFormat="1" ht="15">
      <c r="A164" s="753"/>
      <c r="B164" s="1273" t="s">
        <v>159</v>
      </c>
      <c r="C164" s="1276"/>
      <c r="D164" s="1276"/>
      <c r="E164" s="755"/>
      <c r="F164" s="754"/>
      <c r="G164" s="1071">
        <v>0</v>
      </c>
      <c r="I164" s="1070">
        <v>0</v>
      </c>
      <c r="J164" s="732" t="s">
        <v>563</v>
      </c>
      <c r="K164" s="760"/>
      <c r="L164" s="761"/>
      <c r="N164" s="1070">
        <v>12914905</v>
      </c>
    </row>
    <row r="165" spans="1:14" s="732" customFormat="1" ht="15">
      <c r="A165" s="753"/>
      <c r="B165" s="1273" t="s">
        <v>294</v>
      </c>
      <c r="C165" s="1276"/>
      <c r="D165" s="754"/>
      <c r="E165" s="755"/>
      <c r="F165" s="754"/>
      <c r="G165" s="1065">
        <v>0</v>
      </c>
      <c r="I165" s="1065">
        <v>268662</v>
      </c>
      <c r="J165" s="732" t="s">
        <v>561</v>
      </c>
      <c r="K165" s="760"/>
      <c r="L165" s="761"/>
      <c r="N165" s="1065">
        <v>69843</v>
      </c>
    </row>
    <row r="166" spans="1:14" s="732" customFormat="1" ht="15">
      <c r="A166" s="753"/>
      <c r="B166" s="776" t="s">
        <v>292</v>
      </c>
      <c r="C166" s="754"/>
      <c r="D166" s="754"/>
      <c r="E166" s="755"/>
      <c r="F166" s="754"/>
      <c r="G166" s="1065">
        <v>190822</v>
      </c>
      <c r="I166" s="1065">
        <v>206817</v>
      </c>
      <c r="J166" s="732" t="s">
        <v>564</v>
      </c>
      <c r="K166" s="760" t="s">
        <v>1587</v>
      </c>
      <c r="L166" s="761" t="s">
        <v>1587</v>
      </c>
      <c r="N166" s="1065">
        <v>206817</v>
      </c>
    </row>
    <row r="167" spans="1:14" s="732" customFormat="1" ht="9" customHeight="1">
      <c r="A167" s="753"/>
      <c r="C167" s="754"/>
      <c r="D167" s="754"/>
      <c r="E167" s="755"/>
      <c r="F167" s="754"/>
      <c r="G167" s="765"/>
      <c r="I167" s="765"/>
      <c r="K167" s="760"/>
      <c r="L167" s="761" t="s">
        <v>1587</v>
      </c>
      <c r="N167" s="765"/>
    </row>
    <row r="168" spans="1:14" s="732" customFormat="1" ht="15.75" thickBot="1">
      <c r="A168" s="753"/>
      <c r="B168" s="776" t="s">
        <v>828</v>
      </c>
      <c r="C168" s="754"/>
      <c r="D168" s="754"/>
      <c r="E168" s="755"/>
      <c r="F168" s="754"/>
      <c r="G168" s="771">
        <f>SUM(G153:G167)</f>
        <v>132906684</v>
      </c>
      <c r="I168" s="771">
        <f>SUM(I153:I167)</f>
        <v>134503776</v>
      </c>
      <c r="J168" s="758">
        <f>I168-N168</f>
        <v>198818</v>
      </c>
      <c r="K168" s="760"/>
      <c r="L168" s="761"/>
      <c r="N168" s="771">
        <f>SUM(N153:N167)</f>
        <v>134304958</v>
      </c>
    </row>
    <row r="169" ht="10.5" customHeight="1" thickTop="1"/>
    <row r="170" spans="1:12" s="732" customFormat="1" ht="15">
      <c r="A170" s="798">
        <v>4.2</v>
      </c>
      <c r="B170" s="795" t="s">
        <v>253</v>
      </c>
      <c r="C170" s="754"/>
      <c r="D170" s="754"/>
      <c r="E170" s="755"/>
      <c r="F170" s="754"/>
      <c r="G170" s="756"/>
      <c r="H170" s="757"/>
      <c r="I170" s="757"/>
      <c r="J170" s="732" t="s">
        <v>348</v>
      </c>
      <c r="K170" s="760"/>
      <c r="L170" s="761"/>
    </row>
    <row r="171" spans="1:12" s="732" customFormat="1" ht="12.75" customHeight="1">
      <c r="A171" s="798"/>
      <c r="B171" s="795"/>
      <c r="C171" s="754"/>
      <c r="D171" s="754"/>
      <c r="E171" s="755"/>
      <c r="F171" s="754"/>
      <c r="G171" s="756"/>
      <c r="H171" s="757"/>
      <c r="I171" s="757"/>
      <c r="K171" s="760"/>
      <c r="L171" s="761"/>
    </row>
    <row r="172" spans="1:12" s="732" customFormat="1" ht="15">
      <c r="A172" s="753"/>
      <c r="B172" s="776" t="s">
        <v>253</v>
      </c>
      <c r="C172" s="754"/>
      <c r="D172" s="754"/>
      <c r="E172" s="755"/>
      <c r="F172" s="754"/>
      <c r="G172" s="765">
        <v>6088045</v>
      </c>
      <c r="H172" s="757"/>
      <c r="I172" s="764">
        <v>5467023</v>
      </c>
      <c r="J172" s="732" t="s">
        <v>268</v>
      </c>
      <c r="K172" s="760"/>
      <c r="L172" s="761"/>
    </row>
    <row r="173" spans="1:12" s="732" customFormat="1" ht="9" customHeight="1" thickBot="1">
      <c r="A173" s="753"/>
      <c r="B173" s="776"/>
      <c r="C173" s="754"/>
      <c r="D173" s="754"/>
      <c r="E173" s="755"/>
      <c r="F173" s="754"/>
      <c r="G173" s="802"/>
      <c r="H173" s="781"/>
      <c r="I173" s="846"/>
      <c r="J173" s="732" t="s">
        <v>566</v>
      </c>
      <c r="K173" s="760"/>
      <c r="L173" s="761"/>
    </row>
    <row r="174" spans="1:12" s="732" customFormat="1" ht="16.5" thickBot="1" thickTop="1">
      <c r="A174" s="753"/>
      <c r="B174" s="795"/>
      <c r="C174" s="754"/>
      <c r="D174" s="754"/>
      <c r="E174" s="755"/>
      <c r="F174" s="754"/>
      <c r="G174" s="771">
        <f>SUM(G172:G173)</f>
        <v>6088045</v>
      </c>
      <c r="H174" s="781"/>
      <c r="I174" s="778">
        <f>SUM(I172:I173)</f>
        <v>5467023</v>
      </c>
      <c r="K174" s="760"/>
      <c r="L174" s="761"/>
    </row>
    <row r="175" spans="1:12" s="732" customFormat="1" ht="15.75" thickTop="1">
      <c r="A175" s="753"/>
      <c r="B175" s="1252" t="s">
        <v>906</v>
      </c>
      <c r="C175" s="1252"/>
      <c r="D175" s="1252"/>
      <c r="E175" s="1252"/>
      <c r="F175" s="1252"/>
      <c r="G175" s="1252"/>
      <c r="H175" s="1252"/>
      <c r="I175" s="1252"/>
      <c r="K175" s="760"/>
      <c r="L175" s="761"/>
    </row>
    <row r="176" spans="1:12" s="732" customFormat="1" ht="15">
      <c r="A176" s="753"/>
      <c r="B176" s="754"/>
      <c r="C176" s="754"/>
      <c r="D176" s="754"/>
      <c r="E176" s="754"/>
      <c r="F176" s="754"/>
      <c r="G176" s="754"/>
      <c r="H176" s="754"/>
      <c r="I176" s="754"/>
      <c r="K176" s="760"/>
      <c r="L176" s="761"/>
    </row>
    <row r="177" spans="1:12" s="732" customFormat="1" ht="15">
      <c r="A177" s="753"/>
      <c r="B177" s="754"/>
      <c r="C177" s="754"/>
      <c r="D177" s="754"/>
      <c r="E177" s="754"/>
      <c r="F177" s="754"/>
      <c r="G177" s="754"/>
      <c r="H177" s="754"/>
      <c r="I177" s="754"/>
      <c r="K177" s="760"/>
      <c r="L177" s="761"/>
    </row>
    <row r="178" spans="1:12" s="732" customFormat="1" ht="15">
      <c r="A178" s="753"/>
      <c r="B178" s="754"/>
      <c r="C178" s="754"/>
      <c r="D178" s="754"/>
      <c r="E178" s="754"/>
      <c r="F178" s="754"/>
      <c r="G178" s="754"/>
      <c r="H178" s="754"/>
      <c r="I178" s="754"/>
      <c r="K178" s="760"/>
      <c r="L178" s="761"/>
    </row>
    <row r="179" spans="1:12" s="732" customFormat="1" ht="15">
      <c r="A179" s="753"/>
      <c r="B179" s="754"/>
      <c r="C179" s="754"/>
      <c r="D179" s="754"/>
      <c r="E179" s="754"/>
      <c r="F179" s="754"/>
      <c r="G179" s="754"/>
      <c r="H179" s="754"/>
      <c r="I179" s="754"/>
      <c r="K179" s="760"/>
      <c r="L179" s="761"/>
    </row>
    <row r="180" spans="1:12" s="732" customFormat="1" ht="24" customHeight="1">
      <c r="A180" s="1271" t="s">
        <v>1423</v>
      </c>
      <c r="B180" s="1271"/>
      <c r="C180" s="1271"/>
      <c r="D180" s="1271"/>
      <c r="E180" s="1271"/>
      <c r="F180" s="1271"/>
      <c r="G180" s="1271"/>
      <c r="H180" s="1271"/>
      <c r="I180" s="1271"/>
      <c r="K180" s="760"/>
      <c r="L180" s="761"/>
    </row>
    <row r="181" spans="1:12" s="732" customFormat="1" ht="15">
      <c r="A181" s="753">
        <v>5</v>
      </c>
      <c r="B181" s="795" t="s">
        <v>959</v>
      </c>
      <c r="C181" s="754"/>
      <c r="D181" s="754"/>
      <c r="E181" s="755"/>
      <c r="F181" s="754"/>
      <c r="G181" s="756"/>
      <c r="H181" s="757"/>
      <c r="I181" s="757"/>
      <c r="J181" s="732" t="s">
        <v>868</v>
      </c>
      <c r="K181" s="760"/>
      <c r="L181" s="761"/>
    </row>
    <row r="182" spans="1:12" s="732" customFormat="1" ht="9" customHeight="1">
      <c r="A182" s="753"/>
      <c r="B182" s="795"/>
      <c r="C182" s="754"/>
      <c r="D182" s="754"/>
      <c r="E182" s="755"/>
      <c r="F182" s="754"/>
      <c r="G182" s="756"/>
      <c r="H182" s="757"/>
      <c r="I182" s="757"/>
      <c r="K182" s="760"/>
      <c r="L182" s="761"/>
    </row>
    <row r="183" spans="1:12" s="732" customFormat="1" ht="15">
      <c r="A183" s="753"/>
      <c r="B183" s="795" t="s">
        <v>911</v>
      </c>
      <c r="C183" s="754"/>
      <c r="D183" s="754"/>
      <c r="E183" s="755"/>
      <c r="F183" s="754"/>
      <c r="G183" s="756"/>
      <c r="H183" s="757"/>
      <c r="I183" s="757"/>
      <c r="J183" s="732" t="s">
        <v>271</v>
      </c>
      <c r="K183" s="760"/>
      <c r="L183" s="761"/>
    </row>
    <row r="184" spans="1:12" s="732" customFormat="1" ht="9" customHeight="1">
      <c r="A184" s="753"/>
      <c r="B184" s="795"/>
      <c r="C184" s="754"/>
      <c r="D184" s="754"/>
      <c r="E184" s="755"/>
      <c r="F184" s="754"/>
      <c r="G184" s="756"/>
      <c r="H184" s="757"/>
      <c r="I184" s="757"/>
      <c r="K184" s="760"/>
      <c r="L184" s="761"/>
    </row>
    <row r="185" spans="1:13" s="732" customFormat="1" ht="15">
      <c r="A185" s="753"/>
      <c r="B185" s="776" t="s">
        <v>961</v>
      </c>
      <c r="C185" s="754"/>
      <c r="D185" s="754"/>
      <c r="E185" s="755"/>
      <c r="F185" s="754"/>
      <c r="G185" s="756">
        <f>I188</f>
        <v>19644313</v>
      </c>
      <c r="H185" s="757"/>
      <c r="I185" s="764">
        <f>18920858+4692181.66</f>
        <v>23613040</v>
      </c>
      <c r="J185" s="732" t="s">
        <v>1587</v>
      </c>
      <c r="K185" s="760">
        <v>19644313</v>
      </c>
      <c r="L185" s="761">
        <v>14952131</v>
      </c>
      <c r="M185" s="804">
        <f>K185-L185</f>
        <v>4692182</v>
      </c>
    </row>
    <row r="186" spans="1:12" s="732" customFormat="1" ht="15">
      <c r="A186" s="753"/>
      <c r="B186" s="776" t="s">
        <v>960</v>
      </c>
      <c r="C186" s="754"/>
      <c r="D186" s="754"/>
      <c r="E186" s="755" t="s">
        <v>1587</v>
      </c>
      <c r="F186" s="754"/>
      <c r="G186" s="756">
        <f>-60611</f>
        <v>-60611</v>
      </c>
      <c r="H186" s="757"/>
      <c r="I186" s="756">
        <v>-3968727</v>
      </c>
      <c r="K186" s="760">
        <f>19583702</f>
        <v>19583702</v>
      </c>
      <c r="L186" s="761"/>
    </row>
    <row r="187" spans="1:12" s="732" customFormat="1" ht="9" customHeight="1">
      <c r="A187" s="753"/>
      <c r="B187" s="776"/>
      <c r="C187" s="754"/>
      <c r="D187" s="754"/>
      <c r="E187" s="755"/>
      <c r="F187" s="754"/>
      <c r="G187" s="756"/>
      <c r="H187" s="757"/>
      <c r="I187" s="756"/>
      <c r="K187" s="760">
        <f>K185-K186</f>
        <v>60611</v>
      </c>
      <c r="L187" s="761"/>
    </row>
    <row r="188" spans="1:12" s="732" customFormat="1" ht="15.75" thickBot="1">
      <c r="A188" s="753"/>
      <c r="B188" s="776" t="s">
        <v>962</v>
      </c>
      <c r="C188" s="754"/>
      <c r="D188" s="754"/>
      <c r="E188" s="755" t="s">
        <v>1587</v>
      </c>
      <c r="F188" s="754"/>
      <c r="G188" s="771">
        <f>SUM(G185:G186)</f>
        <v>19583702</v>
      </c>
      <c r="H188" s="805"/>
      <c r="I188" s="771">
        <f>SUM(I185:I186)</f>
        <v>19644313</v>
      </c>
      <c r="J188" s="732" t="s">
        <v>269</v>
      </c>
      <c r="K188" s="760"/>
      <c r="L188" s="761"/>
    </row>
    <row r="189" spans="1:12" s="732" customFormat="1" ht="9" customHeight="1" thickTop="1">
      <c r="A189" s="753"/>
      <c r="C189" s="754"/>
      <c r="D189" s="754"/>
      <c r="E189" s="755"/>
      <c r="F189" s="754"/>
      <c r="G189" s="780"/>
      <c r="H189" s="757"/>
      <c r="I189" s="757"/>
      <c r="K189" s="760"/>
      <c r="L189" s="761"/>
    </row>
    <row r="190" spans="1:12" s="732" customFormat="1" ht="15">
      <c r="A190" s="753"/>
      <c r="B190" s="1274" t="s">
        <v>1089</v>
      </c>
      <c r="C190" s="1275"/>
      <c r="D190" s="1275"/>
      <c r="E190" s="1275"/>
      <c r="F190" s="754"/>
      <c r="G190" s="780"/>
      <c r="H190" s="757"/>
      <c r="I190" s="757"/>
      <c r="K190" s="760"/>
      <c r="L190" s="761"/>
    </row>
    <row r="191" spans="1:12" s="732" customFormat="1" ht="48" customHeight="1">
      <c r="A191" s="753"/>
      <c r="B191" s="1275"/>
      <c r="C191" s="1275"/>
      <c r="D191" s="1275"/>
      <c r="E191" s="1275"/>
      <c r="F191" s="754"/>
      <c r="G191" s="780"/>
      <c r="H191" s="757"/>
      <c r="I191" s="757"/>
      <c r="K191" s="760"/>
      <c r="L191" s="761"/>
    </row>
    <row r="192" spans="1:12" s="732" customFormat="1" ht="9" customHeight="1">
      <c r="A192" s="753"/>
      <c r="B192" s="776"/>
      <c r="C192" s="754"/>
      <c r="D192" s="754"/>
      <c r="E192" s="755"/>
      <c r="F192" s="754"/>
      <c r="G192" s="780"/>
      <c r="H192" s="757"/>
      <c r="I192" s="757"/>
      <c r="K192" s="760"/>
      <c r="L192" s="761"/>
    </row>
    <row r="193" spans="1:12" s="732" customFormat="1" ht="15">
      <c r="A193" s="753">
        <v>6</v>
      </c>
      <c r="B193" s="1278" t="s">
        <v>1213</v>
      </c>
      <c r="C193" s="1278"/>
      <c r="D193" s="795"/>
      <c r="E193" s="755"/>
      <c r="F193" s="755"/>
      <c r="G193" s="796"/>
      <c r="H193" s="781"/>
      <c r="I193" s="754"/>
      <c r="J193" s="732" t="s">
        <v>271</v>
      </c>
      <c r="K193" s="760"/>
      <c r="L193" s="761"/>
    </row>
    <row r="194" spans="1:12" s="732" customFormat="1" ht="9" customHeight="1">
      <c r="A194" s="753"/>
      <c r="B194" s="795"/>
      <c r="C194" s="795"/>
      <c r="D194" s="795"/>
      <c r="E194" s="755"/>
      <c r="F194" s="755"/>
      <c r="G194" s="796"/>
      <c r="H194" s="781"/>
      <c r="I194" s="754"/>
      <c r="K194" s="760"/>
      <c r="L194" s="761"/>
    </row>
    <row r="195" spans="1:12" s="732" customFormat="1" ht="15">
      <c r="A195" s="1072"/>
      <c r="B195" s="1248" t="s">
        <v>964</v>
      </c>
      <c r="C195" s="1248"/>
      <c r="D195" s="1248"/>
      <c r="E195" s="1248"/>
      <c r="F195" s="1070"/>
      <c r="G195" s="1074">
        <f>SUM(G197:G209)</f>
        <v>15694726</v>
      </c>
      <c r="H195" s="1075"/>
      <c r="I195" s="1074">
        <f>SUM(I197:I209)</f>
        <v>32477811</v>
      </c>
      <c r="J195" s="732" t="s">
        <v>442</v>
      </c>
      <c r="K195" s="760"/>
      <c r="L195" s="761"/>
    </row>
    <row r="196" spans="1:12" s="732" customFormat="1" ht="9" customHeight="1">
      <c r="A196" s="1072"/>
      <c r="B196" s="1076"/>
      <c r="C196" s="1076"/>
      <c r="D196" s="1076"/>
      <c r="E196" s="1076"/>
      <c r="F196" s="1070"/>
      <c r="G196" s="1065"/>
      <c r="H196" s="1069"/>
      <c r="I196" s="1069"/>
      <c r="J196" s="732" t="s">
        <v>567</v>
      </c>
      <c r="K196" s="760"/>
      <c r="L196" s="761"/>
    </row>
    <row r="197" spans="1:12" s="732" customFormat="1" ht="15">
      <c r="A197" s="1072"/>
      <c r="B197" s="1077" t="s">
        <v>970</v>
      </c>
      <c r="C197" s="1070"/>
      <c r="D197" s="1070"/>
      <c r="E197" s="1078"/>
      <c r="F197" s="1070"/>
      <c r="G197" s="1079">
        <v>5176907</v>
      </c>
      <c r="H197" s="1069"/>
      <c r="I197" s="1080">
        <f>19414463-3979036</f>
        <v>15435427</v>
      </c>
      <c r="J197" s="732" t="s">
        <v>318</v>
      </c>
      <c r="K197" s="760"/>
      <c r="L197" s="761"/>
    </row>
    <row r="198" spans="1:12" s="732" customFormat="1" ht="15">
      <c r="A198" s="1072"/>
      <c r="B198" s="1077" t="s">
        <v>606</v>
      </c>
      <c r="C198" s="1070"/>
      <c r="D198" s="1070"/>
      <c r="E198" s="1078"/>
      <c r="F198" s="1070"/>
      <c r="G198" s="1081">
        <v>78770</v>
      </c>
      <c r="H198" s="1069"/>
      <c r="I198" s="1082">
        <v>0</v>
      </c>
      <c r="K198" s="760"/>
      <c r="L198" s="761"/>
    </row>
    <row r="199" spans="1:12" s="732" customFormat="1" ht="15">
      <c r="A199" s="1072"/>
      <c r="B199" s="1077" t="s">
        <v>1404</v>
      </c>
      <c r="C199" s="1070"/>
      <c r="D199" s="1070"/>
      <c r="E199" s="1078"/>
      <c r="F199" s="1070"/>
      <c r="G199" s="1083">
        <v>2295011</v>
      </c>
      <c r="H199" s="1069"/>
      <c r="I199" s="1082">
        <v>4183930</v>
      </c>
      <c r="J199" s="732" t="s">
        <v>316</v>
      </c>
      <c r="K199" s="760"/>
      <c r="L199" s="761"/>
    </row>
    <row r="200" spans="1:12" s="732" customFormat="1" ht="15">
      <c r="A200" s="1072"/>
      <c r="B200" s="1077" t="s">
        <v>648</v>
      </c>
      <c r="C200" s="1070"/>
      <c r="D200" s="1070"/>
      <c r="E200" s="1078"/>
      <c r="F200" s="1070"/>
      <c r="G200" s="1083">
        <v>2394853</v>
      </c>
      <c r="H200" s="1069"/>
      <c r="I200" s="1082">
        <v>6326572</v>
      </c>
      <c r="K200" s="760"/>
      <c r="L200" s="761"/>
    </row>
    <row r="201" spans="1:12" s="732" customFormat="1" ht="15">
      <c r="A201" s="1072"/>
      <c r="B201" s="1077" t="s">
        <v>649</v>
      </c>
      <c r="C201" s="1070"/>
      <c r="D201" s="1070"/>
      <c r="E201" s="1078"/>
      <c r="F201" s="1070"/>
      <c r="G201" s="1083">
        <v>0</v>
      </c>
      <c r="H201" s="1069"/>
      <c r="I201" s="1082">
        <v>1412282</v>
      </c>
      <c r="K201" s="760"/>
      <c r="L201" s="761"/>
    </row>
    <row r="202" spans="1:12" s="732" customFormat="1" ht="15">
      <c r="A202" s="1072"/>
      <c r="B202" s="1077" t="s">
        <v>650</v>
      </c>
      <c r="C202" s="1070"/>
      <c r="D202" s="1070"/>
      <c r="E202" s="1078"/>
      <c r="F202" s="1070"/>
      <c r="G202" s="1083">
        <v>0</v>
      </c>
      <c r="H202" s="1069"/>
      <c r="I202" s="1082">
        <v>160287</v>
      </c>
      <c r="K202" s="760"/>
      <c r="L202" s="761"/>
    </row>
    <row r="203" spans="1:12" s="732" customFormat="1" ht="15">
      <c r="A203" s="1072"/>
      <c r="B203" s="1077" t="s">
        <v>651</v>
      </c>
      <c r="C203" s="1070"/>
      <c r="D203" s="1070"/>
      <c r="E203" s="1078"/>
      <c r="F203" s="1070"/>
      <c r="G203" s="1083">
        <v>0</v>
      </c>
      <c r="H203" s="1069"/>
      <c r="I203" s="1082">
        <v>1470994</v>
      </c>
      <c r="K203" s="760"/>
      <c r="L203" s="761"/>
    </row>
    <row r="204" spans="1:12" s="732" customFormat="1" ht="15">
      <c r="A204" s="1072"/>
      <c r="B204" s="1077" t="s">
        <v>659</v>
      </c>
      <c r="C204" s="1070"/>
      <c r="D204" s="1070"/>
      <c r="E204" s="1078"/>
      <c r="F204" s="1070"/>
      <c r="G204" s="1083">
        <f>4210780-1</f>
        <v>4210779</v>
      </c>
      <c r="H204" s="1069"/>
      <c r="I204" s="1082">
        <v>1619856</v>
      </c>
      <c r="K204" s="760"/>
      <c r="L204" s="761"/>
    </row>
    <row r="205" spans="1:12" s="732" customFormat="1" ht="15">
      <c r="A205" s="1072"/>
      <c r="B205" s="1077" t="s">
        <v>660</v>
      </c>
      <c r="C205" s="1070"/>
      <c r="D205" s="1070"/>
      <c r="E205" s="1078"/>
      <c r="F205" s="1070"/>
      <c r="G205" s="1127">
        <v>0</v>
      </c>
      <c r="H205" s="1069"/>
      <c r="I205" s="1082">
        <v>0</v>
      </c>
      <c r="K205" s="760"/>
      <c r="L205" s="761"/>
    </row>
    <row r="206" spans="1:12" s="732" customFormat="1" ht="15">
      <c r="A206" s="1072"/>
      <c r="B206" s="1077" t="s">
        <v>1090</v>
      </c>
      <c r="C206" s="1070"/>
      <c r="D206" s="1070"/>
      <c r="E206" s="1078"/>
      <c r="F206" s="1070"/>
      <c r="G206" s="1081">
        <v>473287</v>
      </c>
      <c r="H206" s="1069"/>
      <c r="I206" s="1082">
        <v>575202</v>
      </c>
      <c r="J206" s="732" t="s">
        <v>317</v>
      </c>
      <c r="K206" s="760"/>
      <c r="L206" s="761"/>
    </row>
    <row r="207" spans="1:12" s="732" customFormat="1" ht="15">
      <c r="A207" s="1072"/>
      <c r="B207" s="1077" t="s">
        <v>371</v>
      </c>
      <c r="C207" s="1070"/>
      <c r="D207" s="1070"/>
      <c r="E207" s="1078"/>
      <c r="F207" s="1070"/>
      <c r="G207" s="1081">
        <v>470609</v>
      </c>
      <c r="H207" s="1069"/>
      <c r="I207" s="1082">
        <v>440407</v>
      </c>
      <c r="K207" s="760"/>
      <c r="L207" s="761"/>
    </row>
    <row r="208" spans="1:12" s="732" customFormat="1" ht="15">
      <c r="A208" s="1072"/>
      <c r="B208" s="1077" t="s">
        <v>372</v>
      </c>
      <c r="C208" s="1070"/>
      <c r="D208" s="1070"/>
      <c r="E208" s="1078"/>
      <c r="F208" s="1070"/>
      <c r="G208" s="1081">
        <v>594510</v>
      </c>
      <c r="H208" s="1069"/>
      <c r="I208" s="1082">
        <v>824528</v>
      </c>
      <c r="K208" s="760"/>
      <c r="L208" s="761"/>
    </row>
    <row r="209" spans="1:12" s="732" customFormat="1" ht="15">
      <c r="A209" s="1072"/>
      <c r="B209" s="1077" t="s">
        <v>976</v>
      </c>
      <c r="C209" s="1070"/>
      <c r="D209" s="1070"/>
      <c r="E209" s="1078"/>
      <c r="F209" s="1070"/>
      <c r="G209" s="1084">
        <v>0</v>
      </c>
      <c r="H209" s="1069"/>
      <c r="I209" s="1085">
        <v>28326</v>
      </c>
      <c r="K209" s="760"/>
      <c r="L209" s="761"/>
    </row>
    <row r="210" spans="1:12" s="732" customFormat="1" ht="9" customHeight="1">
      <c r="A210" s="1250"/>
      <c r="B210" s="1250"/>
      <c r="C210" s="1250"/>
      <c r="D210" s="1250"/>
      <c r="E210" s="1250"/>
      <c r="F210" s="1250"/>
      <c r="G210" s="1250"/>
      <c r="H210" s="1250"/>
      <c r="I210" s="1250"/>
      <c r="K210" s="760"/>
      <c r="L210" s="761"/>
    </row>
    <row r="211" spans="1:12" s="732" customFormat="1" ht="15.75" thickBot="1">
      <c r="A211" s="1072"/>
      <c r="B211" s="1073"/>
      <c r="C211" s="1078"/>
      <c r="D211" s="1078"/>
      <c r="E211" s="1078"/>
      <c r="F211" s="1078"/>
      <c r="G211" s="1086">
        <f>G195</f>
        <v>15694726</v>
      </c>
      <c r="H211" s="1075"/>
      <c r="I211" s="1086">
        <f>I195</f>
        <v>32477811</v>
      </c>
      <c r="K211" s="760"/>
      <c r="L211" s="761"/>
    </row>
    <row r="212" spans="1:12" s="732" customFormat="1" ht="9" customHeight="1" thickTop="1">
      <c r="A212" s="753"/>
      <c r="B212" s="795"/>
      <c r="C212" s="755"/>
      <c r="D212" s="755"/>
      <c r="E212" s="755"/>
      <c r="F212" s="755"/>
      <c r="G212" s="780"/>
      <c r="H212" s="781"/>
      <c r="I212" s="770"/>
      <c r="K212" s="760"/>
      <c r="L212" s="761"/>
    </row>
    <row r="213" spans="1:12" s="732" customFormat="1" ht="15">
      <c r="A213" s="753"/>
      <c r="B213" s="1273" t="s">
        <v>369</v>
      </c>
      <c r="C213" s="1273"/>
      <c r="D213" s="1273"/>
      <c r="E213" s="1273"/>
      <c r="F213" s="1273"/>
      <c r="G213" s="1273"/>
      <c r="H213" s="1273"/>
      <c r="I213" s="1273"/>
      <c r="K213" s="760"/>
      <c r="L213" s="761"/>
    </row>
    <row r="214" spans="1:12" s="732" customFormat="1" ht="9" customHeight="1">
      <c r="A214" s="753"/>
      <c r="B214" s="776"/>
      <c r="C214" s="776"/>
      <c r="D214" s="776"/>
      <c r="E214" s="776"/>
      <c r="F214" s="776"/>
      <c r="G214" s="776"/>
      <c r="H214" s="776"/>
      <c r="I214" s="776"/>
      <c r="K214" s="760"/>
      <c r="L214" s="761"/>
    </row>
    <row r="215" spans="1:12" s="732" customFormat="1" ht="15">
      <c r="A215" s="753">
        <v>7</v>
      </c>
      <c r="B215" s="1278" t="s">
        <v>1034</v>
      </c>
      <c r="C215" s="1278"/>
      <c r="D215" s="754"/>
      <c r="E215" s="755"/>
      <c r="F215" s="754"/>
      <c r="G215" s="756"/>
      <c r="H215" s="757"/>
      <c r="I215" s="754"/>
      <c r="J215" s="732" t="s">
        <v>869</v>
      </c>
      <c r="K215" s="760"/>
      <c r="L215" s="761"/>
    </row>
    <row r="216" spans="1:12" s="732" customFormat="1" ht="9" customHeight="1">
      <c r="A216" s="753"/>
      <c r="B216" s="795"/>
      <c r="C216" s="795"/>
      <c r="D216" s="754"/>
      <c r="E216" s="755"/>
      <c r="F216" s="754"/>
      <c r="G216" s="756"/>
      <c r="H216" s="757"/>
      <c r="I216" s="754"/>
      <c r="K216" s="760">
        <v>9458450</v>
      </c>
      <c r="L216" s="761">
        <v>-68365914.7</v>
      </c>
    </row>
    <row r="217" spans="1:12" s="732" customFormat="1" ht="15">
      <c r="A217" s="753"/>
      <c r="B217" s="754" t="s">
        <v>1035</v>
      </c>
      <c r="C217" s="754"/>
      <c r="D217" s="754"/>
      <c r="E217" s="755"/>
      <c r="F217" s="754"/>
      <c r="G217" s="756">
        <f>-9713893</f>
        <v>-9713893</v>
      </c>
      <c r="H217" s="757"/>
      <c r="I217" s="758">
        <f>-5810249-1898429-928363</f>
        <v>-8637041</v>
      </c>
      <c r="K217" s="760">
        <v>436362</v>
      </c>
      <c r="L217" s="761">
        <v>-146536.99</v>
      </c>
    </row>
    <row r="218" spans="1:12" s="732" customFormat="1" ht="15">
      <c r="A218" s="753"/>
      <c r="B218" s="754" t="s">
        <v>1036</v>
      </c>
      <c r="C218" s="754"/>
      <c r="D218" s="754"/>
      <c r="E218" s="755"/>
      <c r="F218" s="754"/>
      <c r="G218" s="756">
        <v>69174029</v>
      </c>
      <c r="H218" s="757"/>
      <c r="I218" s="758">
        <f>58485565+26329+555279</f>
        <v>59067173</v>
      </c>
      <c r="K218" s="760">
        <f>SUM(K216:K217)</f>
        <v>9894812</v>
      </c>
      <c r="L218" s="761">
        <v>-557681.12</v>
      </c>
    </row>
    <row r="219" spans="1:12" s="732" customFormat="1" ht="9" customHeight="1">
      <c r="A219" s="753"/>
      <c r="B219" s="754"/>
      <c r="C219" s="754"/>
      <c r="D219" s="754"/>
      <c r="E219" s="755"/>
      <c r="F219" s="754"/>
      <c r="G219" s="756"/>
      <c r="H219" s="757"/>
      <c r="I219" s="758"/>
      <c r="K219" s="760"/>
      <c r="L219" s="761">
        <f>SUM(L216:L218)</f>
        <v>-69070132.81</v>
      </c>
    </row>
    <row r="220" spans="1:12" s="732" customFormat="1" ht="15.75" thickBot="1">
      <c r="A220" s="753"/>
      <c r="B220" s="776"/>
      <c r="C220" s="754"/>
      <c r="D220" s="754"/>
      <c r="E220" s="755"/>
      <c r="F220" s="754"/>
      <c r="G220" s="771">
        <f>SUM(G217:G218)</f>
        <v>59460136</v>
      </c>
      <c r="H220" s="757"/>
      <c r="I220" s="771">
        <f>SUM(I217:I218)</f>
        <v>50430132</v>
      </c>
      <c r="J220" s="732" t="s">
        <v>270</v>
      </c>
      <c r="K220" s="760"/>
      <c r="L220" s="761"/>
    </row>
    <row r="221" spans="1:12" s="732" customFormat="1" ht="9" customHeight="1" thickTop="1">
      <c r="A221" s="753"/>
      <c r="B221" s="776"/>
      <c r="C221" s="754"/>
      <c r="D221" s="754"/>
      <c r="E221" s="755"/>
      <c r="F221" s="754"/>
      <c r="G221" s="756"/>
      <c r="H221" s="757"/>
      <c r="I221" s="754"/>
      <c r="K221" s="760"/>
      <c r="L221" s="761"/>
    </row>
    <row r="222" spans="1:12" s="732" customFormat="1" ht="15">
      <c r="A222" s="753"/>
      <c r="B222" s="1274" t="s">
        <v>1037</v>
      </c>
      <c r="C222" s="1275"/>
      <c r="D222" s="1275"/>
      <c r="E222" s="1275"/>
      <c r="F222" s="776"/>
      <c r="G222" s="776"/>
      <c r="H222" s="776"/>
      <c r="I222" s="776"/>
      <c r="K222" s="760"/>
      <c r="L222" s="761"/>
    </row>
    <row r="223" spans="1:12" s="732" customFormat="1" ht="9" customHeight="1">
      <c r="A223" s="753"/>
      <c r="B223" s="776"/>
      <c r="C223" s="776"/>
      <c r="D223" s="776"/>
      <c r="E223" s="776"/>
      <c r="F223" s="776"/>
      <c r="G223" s="812"/>
      <c r="H223" s="776"/>
      <c r="I223" s="776"/>
      <c r="K223" s="760"/>
      <c r="L223" s="761"/>
    </row>
    <row r="224" spans="1:12" s="732" customFormat="1" ht="15">
      <c r="A224" s="753">
        <v>8</v>
      </c>
      <c r="B224" s="795" t="s">
        <v>1291</v>
      </c>
      <c r="C224" s="754"/>
      <c r="D224" s="754"/>
      <c r="E224" s="755"/>
      <c r="F224" s="754"/>
      <c r="G224" s="756"/>
      <c r="H224" s="757"/>
      <c r="I224" s="754"/>
      <c r="J224" s="732" t="s">
        <v>460</v>
      </c>
      <c r="K224" s="760"/>
      <c r="L224" s="761"/>
    </row>
    <row r="225" spans="1:12" s="732" customFormat="1" ht="9" customHeight="1">
      <c r="A225" s="753"/>
      <c r="B225" s="813"/>
      <c r="C225" s="754"/>
      <c r="D225" s="754"/>
      <c r="E225" s="755"/>
      <c r="F225" s="754"/>
      <c r="G225" s="756"/>
      <c r="H225" s="757"/>
      <c r="I225" s="757"/>
      <c r="K225" s="760"/>
      <c r="L225" s="761"/>
    </row>
    <row r="226" spans="1:12" s="732" customFormat="1" ht="15">
      <c r="A226" s="753"/>
      <c r="B226" s="748" t="s">
        <v>1038</v>
      </c>
      <c r="C226" s="754"/>
      <c r="D226" s="754"/>
      <c r="E226" s="755"/>
      <c r="F226" s="754"/>
      <c r="G226" s="756"/>
      <c r="H226" s="757"/>
      <c r="I226" s="757"/>
      <c r="K226" s="760"/>
      <c r="L226" s="761"/>
    </row>
    <row r="227" spans="1:12" s="732" customFormat="1" ht="9" customHeight="1">
      <c r="A227" s="753"/>
      <c r="B227" s="814"/>
      <c r="C227" s="754"/>
      <c r="D227" s="754"/>
      <c r="E227" s="755"/>
      <c r="F227" s="754"/>
      <c r="G227" s="756"/>
      <c r="H227" s="757"/>
      <c r="I227" s="757"/>
      <c r="K227" s="760"/>
      <c r="L227" s="761"/>
    </row>
    <row r="228" spans="1:12" s="732" customFormat="1" ht="15">
      <c r="A228" s="753"/>
      <c r="B228" s="776" t="s">
        <v>1047</v>
      </c>
      <c r="C228" s="754"/>
      <c r="D228" s="754"/>
      <c r="E228" s="755"/>
      <c r="F228" s="754"/>
      <c r="G228" s="765">
        <v>39157954</v>
      </c>
      <c r="H228" s="757"/>
      <c r="I228" s="764">
        <v>31125622</v>
      </c>
      <c r="J228" s="732" t="s">
        <v>872</v>
      </c>
      <c r="K228" s="760"/>
      <c r="L228" s="761"/>
    </row>
    <row r="229" spans="1:12" s="732" customFormat="1" ht="15">
      <c r="A229" s="753"/>
      <c r="B229" s="776" t="s">
        <v>1048</v>
      </c>
      <c r="C229" s="754"/>
      <c r="D229" s="754"/>
      <c r="E229" s="755"/>
      <c r="F229" s="754"/>
      <c r="G229" s="765">
        <v>168653</v>
      </c>
      <c r="H229" s="757"/>
      <c r="I229" s="764">
        <v>162016</v>
      </c>
      <c r="J229" s="732" t="s">
        <v>488</v>
      </c>
      <c r="K229" s="760"/>
      <c r="L229" s="761"/>
    </row>
    <row r="230" spans="1:12" s="732" customFormat="1" ht="9" customHeight="1">
      <c r="A230" s="753"/>
      <c r="B230" s="776"/>
      <c r="C230" s="754"/>
      <c r="D230" s="754"/>
      <c r="E230" s="755"/>
      <c r="F230" s="754"/>
      <c r="G230" s="765"/>
      <c r="H230" s="757"/>
      <c r="I230" s="764"/>
      <c r="K230" s="760"/>
      <c r="L230" s="761"/>
    </row>
    <row r="231" spans="1:12" s="732" customFormat="1" ht="15.75" thickBot="1">
      <c r="A231" s="753"/>
      <c r="B231" s="776"/>
      <c r="C231" s="754"/>
      <c r="D231" s="754"/>
      <c r="E231" s="755"/>
      <c r="F231" s="754"/>
      <c r="G231" s="771">
        <f>SUM(G228:G229)</f>
        <v>39326607</v>
      </c>
      <c r="H231" s="757"/>
      <c r="I231" s="779">
        <f>SUM(I228:I230)</f>
        <v>31287638</v>
      </c>
      <c r="K231" s="760">
        <v>85335905</v>
      </c>
      <c r="L231" s="761"/>
    </row>
    <row r="232" spans="1:12" s="732" customFormat="1" ht="15.75" thickTop="1">
      <c r="A232" s="753"/>
      <c r="B232" s="795" t="s">
        <v>261</v>
      </c>
      <c r="C232" s="754"/>
      <c r="D232" s="754"/>
      <c r="E232" s="755"/>
      <c r="F232" s="754"/>
      <c r="G232" s="756"/>
      <c r="H232" s="743"/>
      <c r="I232" s="754"/>
      <c r="K232" s="760">
        <v>-31125622</v>
      </c>
      <c r="L232" s="761"/>
    </row>
    <row r="233" spans="1:12" s="732" customFormat="1" ht="9" customHeight="1">
      <c r="A233" s="753"/>
      <c r="B233" s="806"/>
      <c r="C233" s="754"/>
      <c r="D233" s="754"/>
      <c r="E233" s="755"/>
      <c r="F233" s="754"/>
      <c r="G233" s="756"/>
      <c r="H233" s="743"/>
      <c r="I233" s="754"/>
      <c r="K233" s="760"/>
      <c r="L233" s="761"/>
    </row>
    <row r="234" spans="1:12" s="732" customFormat="1" ht="15">
      <c r="A234" s="731"/>
      <c r="B234" s="776" t="s">
        <v>1047</v>
      </c>
      <c r="E234" s="748"/>
      <c r="G234" s="1065">
        <v>0</v>
      </c>
      <c r="H234" s="765"/>
      <c r="I234" s="765">
        <v>6131809</v>
      </c>
      <c r="K234" s="760">
        <v>-6131809</v>
      </c>
      <c r="L234" s="761"/>
    </row>
    <row r="235" spans="1:12" s="732" customFormat="1" ht="15">
      <c r="A235" s="731"/>
      <c r="B235" s="776" t="s">
        <v>866</v>
      </c>
      <c r="E235" s="748"/>
      <c r="G235" s="765">
        <v>20847023</v>
      </c>
      <c r="H235" s="765"/>
      <c r="I235" s="765">
        <v>47916458</v>
      </c>
      <c r="K235" s="760"/>
      <c r="L235" s="761"/>
    </row>
    <row r="236" spans="1:12" s="732" customFormat="1" ht="9" customHeight="1">
      <c r="A236" s="731"/>
      <c r="B236" s="776"/>
      <c r="E236" s="748"/>
      <c r="G236" s="765"/>
      <c r="H236" s="765"/>
      <c r="I236" s="765"/>
      <c r="K236" s="760"/>
      <c r="L236" s="761"/>
    </row>
    <row r="237" spans="1:12" s="732" customFormat="1" ht="15.75" thickBot="1">
      <c r="A237" s="731"/>
      <c r="B237" s="776"/>
      <c r="E237" s="748"/>
      <c r="G237" s="771">
        <f>SUM(G234:G236)</f>
        <v>20847023</v>
      </c>
      <c r="H237" s="780"/>
      <c r="I237" s="771">
        <f>SUM(I234:I236)</f>
        <v>54048267</v>
      </c>
      <c r="K237" s="760"/>
      <c r="L237" s="761"/>
    </row>
    <row r="238" spans="1:12" s="732" customFormat="1" ht="9" customHeight="1" thickTop="1">
      <c r="A238" s="753"/>
      <c r="B238" s="776"/>
      <c r="C238" s="754"/>
      <c r="D238" s="754"/>
      <c r="E238" s="755"/>
      <c r="F238" s="754"/>
      <c r="G238" s="796"/>
      <c r="H238" s="757"/>
      <c r="I238" s="754"/>
      <c r="K238" s="760">
        <v>-162016</v>
      </c>
      <c r="L238" s="761"/>
    </row>
    <row r="239" spans="1:12" s="732" customFormat="1" ht="21.75" customHeight="1">
      <c r="A239" s="753"/>
      <c r="B239" s="1273" t="s">
        <v>103</v>
      </c>
      <c r="C239" s="1276"/>
      <c r="D239" s="1276"/>
      <c r="E239" s="1276"/>
      <c r="F239" s="754"/>
      <c r="G239" s="796"/>
      <c r="H239" s="757"/>
      <c r="I239" s="754"/>
      <c r="K239" s="760">
        <f>G530</f>
        <v>17017284</v>
      </c>
      <c r="L239" s="761"/>
    </row>
    <row r="240" spans="1:12" s="732" customFormat="1" ht="9" customHeight="1">
      <c r="A240" s="753"/>
      <c r="B240" s="776"/>
      <c r="C240" s="776"/>
      <c r="D240" s="776"/>
      <c r="E240" s="795"/>
      <c r="F240" s="776"/>
      <c r="G240" s="812"/>
      <c r="H240" s="815"/>
      <c r="I240" s="816"/>
      <c r="K240" s="760"/>
      <c r="L240" s="761"/>
    </row>
    <row r="241" spans="1:12" s="732" customFormat="1" ht="15">
      <c r="A241" s="753">
        <v>9</v>
      </c>
      <c r="B241" s="795" t="s">
        <v>890</v>
      </c>
      <c r="C241" s="755"/>
      <c r="D241" s="755"/>
      <c r="E241" s="755"/>
      <c r="F241" s="755"/>
      <c r="G241" s="796"/>
      <c r="H241" s="781"/>
      <c r="I241" s="754"/>
      <c r="J241" s="732" t="s">
        <v>462</v>
      </c>
      <c r="K241" s="760"/>
      <c r="L241" s="761"/>
    </row>
    <row r="242" spans="1:12" s="732" customFormat="1" ht="15">
      <c r="A242" s="753"/>
      <c r="B242" s="795"/>
      <c r="C242" s="755"/>
      <c r="D242" s="755"/>
      <c r="E242" s="755"/>
      <c r="F242" s="755"/>
      <c r="G242" s="796"/>
      <c r="H242" s="781"/>
      <c r="I242" s="754"/>
      <c r="K242" s="760"/>
      <c r="L242" s="761"/>
    </row>
    <row r="243" spans="1:12" s="732" customFormat="1" ht="15">
      <c r="A243" s="753"/>
      <c r="B243" s="776" t="s">
        <v>921</v>
      </c>
      <c r="C243" s="754"/>
      <c r="D243" s="754"/>
      <c r="E243" s="755"/>
      <c r="F243" s="754"/>
      <c r="G243" s="765">
        <v>593282</v>
      </c>
      <c r="H243" s="757"/>
      <c r="I243" s="765">
        <v>678228</v>
      </c>
      <c r="J243" s="732" t="s">
        <v>510</v>
      </c>
      <c r="K243" s="760"/>
      <c r="L243" s="761"/>
    </row>
    <row r="244" spans="1:12" s="732" customFormat="1" ht="15">
      <c r="A244" s="753"/>
      <c r="B244" s="776" t="s">
        <v>1300</v>
      </c>
      <c r="C244" s="754"/>
      <c r="D244" s="754"/>
      <c r="E244" s="755"/>
      <c r="F244" s="754"/>
      <c r="G244" s="765">
        <v>6290998</v>
      </c>
      <c r="H244" s="757"/>
      <c r="I244" s="764">
        <v>6521015</v>
      </c>
      <c r="J244" s="732" t="s">
        <v>511</v>
      </c>
      <c r="K244" s="760"/>
      <c r="L244" s="761"/>
    </row>
    <row r="245" spans="1:12" s="732" customFormat="1" ht="15">
      <c r="A245" s="753"/>
      <c r="B245" s="1273" t="s">
        <v>1039</v>
      </c>
      <c r="C245" s="1276"/>
      <c r="D245" s="776"/>
      <c r="E245" s="776"/>
      <c r="F245" s="754"/>
      <c r="G245" s="1066">
        <v>0</v>
      </c>
      <c r="H245" s="757"/>
      <c r="I245" s="763">
        <v>23223</v>
      </c>
      <c r="J245" s="732" t="s">
        <v>509</v>
      </c>
      <c r="K245" s="760"/>
      <c r="L245" s="761"/>
    </row>
    <row r="246" spans="1:12" s="732" customFormat="1" ht="15">
      <c r="A246" s="753"/>
      <c r="B246" s="1273" t="s">
        <v>891</v>
      </c>
      <c r="C246" s="1273"/>
      <c r="D246" s="1273"/>
      <c r="E246" s="1273"/>
      <c r="F246" s="755"/>
      <c r="G246" s="765">
        <f>SUM(G243:G245)</f>
        <v>6884280</v>
      </c>
      <c r="H246" s="765"/>
      <c r="I246" s="765">
        <f>SUM(I243:I245)</f>
        <v>7222466</v>
      </c>
      <c r="J246" s="732" t="s">
        <v>75</v>
      </c>
      <c r="K246" s="760"/>
      <c r="L246" s="761"/>
    </row>
    <row r="247" spans="1:12" s="732" customFormat="1" ht="15">
      <c r="A247" s="753"/>
      <c r="B247" s="776" t="s">
        <v>408</v>
      </c>
      <c r="C247" s="754"/>
      <c r="D247" s="754"/>
      <c r="E247" s="754"/>
      <c r="F247" s="755"/>
      <c r="G247" s="765">
        <f>-6784867</f>
        <v>-6784867</v>
      </c>
      <c r="H247" s="757"/>
      <c r="I247" s="764">
        <v>-6247554</v>
      </c>
      <c r="J247" s="732" t="s">
        <v>574</v>
      </c>
      <c r="K247" s="760"/>
      <c r="L247" s="761"/>
    </row>
    <row r="248" spans="1:12" s="732" customFormat="1" ht="9" customHeight="1">
      <c r="A248" s="753"/>
      <c r="B248" s="776"/>
      <c r="C248" s="754"/>
      <c r="D248" s="754"/>
      <c r="E248" s="754"/>
      <c r="F248" s="755"/>
      <c r="G248" s="780"/>
      <c r="H248" s="781"/>
      <c r="I248" s="764"/>
      <c r="K248" s="760"/>
      <c r="L248" s="761"/>
    </row>
    <row r="249" spans="1:12" s="732" customFormat="1" ht="15.75" thickBot="1">
      <c r="A249" s="753"/>
      <c r="B249" s="776"/>
      <c r="C249" s="776"/>
      <c r="D249" s="776"/>
      <c r="E249" s="776"/>
      <c r="F249" s="776"/>
      <c r="G249" s="817">
        <f>SUM(G246:G247)</f>
        <v>99413</v>
      </c>
      <c r="H249" s="795"/>
      <c r="I249" s="817">
        <f>SUM(I246:I247)</f>
        <v>974912</v>
      </c>
      <c r="K249" s="760"/>
      <c r="L249" s="761"/>
    </row>
    <row r="250" ht="15.75" thickTop="1"/>
    <row r="251" spans="1:12" s="732" customFormat="1" ht="15">
      <c r="A251" s="753"/>
      <c r="B251" s="795" t="s">
        <v>921</v>
      </c>
      <c r="C251" s="754"/>
      <c r="D251" s="754"/>
      <c r="E251" s="755"/>
      <c r="F251" s="754"/>
      <c r="G251" s="796"/>
      <c r="H251" s="781"/>
      <c r="I251" s="754"/>
      <c r="K251" s="760"/>
      <c r="L251" s="761"/>
    </row>
    <row r="252" spans="1:12" s="732" customFormat="1" ht="34.5" customHeight="1">
      <c r="A252" s="753"/>
      <c r="B252" s="1274" t="s">
        <v>409</v>
      </c>
      <c r="C252" s="1275"/>
      <c r="D252" s="1275"/>
      <c r="E252" s="1275"/>
      <c r="F252" s="776"/>
      <c r="G252" s="776"/>
      <c r="H252" s="776"/>
      <c r="I252" s="776"/>
      <c r="K252" s="760"/>
      <c r="L252" s="761"/>
    </row>
    <row r="253" ht="9" customHeight="1"/>
    <row r="254" spans="1:12" s="821" customFormat="1" ht="15">
      <c r="A254" s="819"/>
      <c r="B254" s="820" t="s">
        <v>1300</v>
      </c>
      <c r="C254" s="776"/>
      <c r="D254" s="776"/>
      <c r="E254" s="776"/>
      <c r="F254" s="818"/>
      <c r="G254" s="818"/>
      <c r="H254" s="818"/>
      <c r="I254" s="1171"/>
      <c r="K254" s="822"/>
      <c r="L254" s="823"/>
    </row>
    <row r="255" spans="1:12" s="732" customFormat="1" ht="50.25" customHeight="1">
      <c r="A255" s="753"/>
      <c r="B255" s="1274" t="s">
        <v>370</v>
      </c>
      <c r="C255" s="1275"/>
      <c r="D255" s="1275"/>
      <c r="E255" s="1275"/>
      <c r="F255" s="776"/>
      <c r="G255" s="776"/>
      <c r="H255" s="776"/>
      <c r="I255" s="776"/>
      <c r="K255" s="760"/>
      <c r="L255" s="761"/>
    </row>
    <row r="256" spans="1:12" s="732" customFormat="1" ht="15">
      <c r="A256" s="753"/>
      <c r="B256" s="774"/>
      <c r="C256" s="775"/>
      <c r="D256" s="775"/>
      <c r="E256" s="775"/>
      <c r="F256" s="776"/>
      <c r="G256" s="776"/>
      <c r="H256" s="776"/>
      <c r="I256" s="776"/>
      <c r="K256" s="760"/>
      <c r="L256" s="761"/>
    </row>
    <row r="257" spans="1:12" s="732" customFormat="1" ht="15">
      <c r="A257" s="753"/>
      <c r="B257" s="938" t="s">
        <v>61</v>
      </c>
      <c r="C257" s="775"/>
      <c r="D257" s="775"/>
      <c r="E257" s="775"/>
      <c r="F257" s="776"/>
      <c r="G257" s="776"/>
      <c r="H257" s="776"/>
      <c r="I257" s="776"/>
      <c r="K257" s="760"/>
      <c r="L257" s="761"/>
    </row>
    <row r="258" spans="1:12" s="732" customFormat="1" ht="9" customHeight="1">
      <c r="A258" s="753"/>
      <c r="B258" s="774"/>
      <c r="C258" s="775"/>
      <c r="D258" s="775"/>
      <c r="E258" s="775"/>
      <c r="F258" s="776"/>
      <c r="G258" s="776"/>
      <c r="H258" s="776"/>
      <c r="I258" s="776"/>
      <c r="K258" s="760"/>
      <c r="L258" s="761"/>
    </row>
    <row r="259" spans="1:12" s="732" customFormat="1" ht="15">
      <c r="A259" s="753"/>
      <c r="B259" s="774" t="s">
        <v>108</v>
      </c>
      <c r="C259" s="775"/>
      <c r="D259" s="775"/>
      <c r="E259" s="775"/>
      <c r="F259" s="776"/>
      <c r="G259" s="776">
        <v>22122894</v>
      </c>
      <c r="H259" s="776"/>
      <c r="I259" s="757">
        <v>0</v>
      </c>
      <c r="K259" s="760"/>
      <c r="L259" s="761"/>
    </row>
    <row r="260" spans="1:12" s="732" customFormat="1" ht="9" customHeight="1">
      <c r="A260" s="753"/>
      <c r="B260" s="774"/>
      <c r="C260" s="775"/>
      <c r="D260" s="775"/>
      <c r="E260" s="775"/>
      <c r="F260" s="776"/>
      <c r="G260" s="776"/>
      <c r="H260" s="776"/>
      <c r="I260" s="776"/>
      <c r="K260" s="760"/>
      <c r="L260" s="761"/>
    </row>
    <row r="261" spans="1:12" s="732" customFormat="1" ht="15.75" thickBot="1">
      <c r="A261" s="753"/>
      <c r="B261" s="774" t="s">
        <v>1587</v>
      </c>
      <c r="C261" s="775"/>
      <c r="D261" s="775"/>
      <c r="E261" s="775"/>
      <c r="F261" s="776"/>
      <c r="G261" s="1197">
        <f>SUM(G259:G260)</f>
        <v>22122894</v>
      </c>
      <c r="H261" s="776"/>
      <c r="I261" s="939">
        <v>0</v>
      </c>
      <c r="K261" s="760"/>
      <c r="L261" s="761"/>
    </row>
    <row r="262" spans="1:12" s="732" customFormat="1" ht="9" customHeight="1" thickTop="1">
      <c r="A262" s="753"/>
      <c r="B262" s="774"/>
      <c r="C262" s="775"/>
      <c r="D262" s="775"/>
      <c r="E262" s="775"/>
      <c r="F262" s="776"/>
      <c r="G262" s="776"/>
      <c r="H262" s="776"/>
      <c r="I262" s="776"/>
      <c r="K262" s="760"/>
      <c r="L262" s="761"/>
    </row>
    <row r="263" spans="1:12" s="732" customFormat="1" ht="48.75" customHeight="1">
      <c r="A263" s="753"/>
      <c r="B263" s="774" t="s">
        <v>830</v>
      </c>
      <c r="C263" s="775"/>
      <c r="D263" s="775"/>
      <c r="E263" s="775"/>
      <c r="F263" s="776"/>
      <c r="G263" s="776"/>
      <c r="H263" s="776"/>
      <c r="I263" s="776"/>
      <c r="K263" s="760"/>
      <c r="L263" s="761"/>
    </row>
    <row r="267" spans="1:12" s="732" customFormat="1" ht="15">
      <c r="A267" s="1143"/>
      <c r="B267" s="1143"/>
      <c r="C267" s="1143"/>
      <c r="D267" s="1143"/>
      <c r="E267" s="1143"/>
      <c r="F267" s="1143"/>
      <c r="G267" s="1143"/>
      <c r="H267" s="1143"/>
      <c r="I267" s="1172"/>
      <c r="K267" s="760"/>
      <c r="L267" s="761"/>
    </row>
    <row r="268" spans="1:12" s="732" customFormat="1" ht="15">
      <c r="A268" s="1247" t="s">
        <v>1453</v>
      </c>
      <c r="B268" s="1247"/>
      <c r="C268" s="1247"/>
      <c r="D268" s="1247"/>
      <c r="E268" s="1247"/>
      <c r="F268" s="1247"/>
      <c r="G268" s="1247"/>
      <c r="H268" s="1247"/>
      <c r="I268" s="1247"/>
      <c r="K268" s="760"/>
      <c r="L268" s="761"/>
    </row>
    <row r="270" spans="1:12" s="732" customFormat="1" ht="15">
      <c r="A270" s="1143"/>
      <c r="B270" s="1143"/>
      <c r="C270" s="1143"/>
      <c r="D270" s="1143"/>
      <c r="E270" s="1143"/>
      <c r="F270" s="1143"/>
      <c r="G270" s="1143"/>
      <c r="H270" s="1143"/>
      <c r="I270" s="1143"/>
      <c r="K270" s="760"/>
      <c r="L270" s="761"/>
    </row>
    <row r="271" spans="1:12" s="732" customFormat="1" ht="15">
      <c r="A271" s="1143"/>
      <c r="B271" s="1143"/>
      <c r="C271" s="1143"/>
      <c r="D271" s="1143"/>
      <c r="E271" s="1143"/>
      <c r="F271" s="1143"/>
      <c r="G271" s="1143"/>
      <c r="H271" s="1143"/>
      <c r="I271" s="1172"/>
      <c r="K271" s="760"/>
      <c r="L271" s="761"/>
    </row>
    <row r="272" spans="1:12" s="732" customFormat="1" ht="15">
      <c r="A272" s="824">
        <v>11</v>
      </c>
      <c r="B272" s="755" t="s">
        <v>1044</v>
      </c>
      <c r="C272" s="754"/>
      <c r="D272" s="754"/>
      <c r="E272" s="755"/>
      <c r="F272" s="754"/>
      <c r="G272" s="756"/>
      <c r="H272" s="757"/>
      <c r="I272" s="754"/>
      <c r="K272" s="760"/>
      <c r="L272" s="761"/>
    </row>
    <row r="273" spans="1:12" s="732" customFormat="1" ht="9" customHeight="1">
      <c r="A273" s="824"/>
      <c r="C273" s="754"/>
      <c r="D273" s="754"/>
      <c r="E273" s="755"/>
      <c r="F273" s="754"/>
      <c r="G273" s="756"/>
      <c r="H273" s="757"/>
      <c r="I273" s="754"/>
      <c r="K273" s="760"/>
      <c r="L273" s="761"/>
    </row>
    <row r="274" spans="1:12" s="732" customFormat="1" ht="15">
      <c r="A274" s="824"/>
      <c r="B274" s="755" t="s">
        <v>1042</v>
      </c>
      <c r="C274" s="754"/>
      <c r="D274" s="754"/>
      <c r="E274" s="755"/>
      <c r="F274" s="754"/>
      <c r="G274" s="756"/>
      <c r="H274" s="757"/>
      <c r="I274" s="754"/>
      <c r="K274" s="760"/>
      <c r="L274" s="761"/>
    </row>
    <row r="275" spans="1:12" s="732" customFormat="1" ht="9" customHeight="1">
      <c r="A275" s="824"/>
      <c r="B275" s="755"/>
      <c r="C275" s="754"/>
      <c r="D275" s="754"/>
      <c r="E275" s="755"/>
      <c r="F275" s="754"/>
      <c r="G275" s="756"/>
      <c r="H275" s="757"/>
      <c r="I275" s="754"/>
      <c r="K275" s="760"/>
      <c r="L275" s="761"/>
    </row>
    <row r="276" spans="1:12" s="732" customFormat="1" ht="15">
      <c r="A276" s="1087"/>
      <c r="B276" s="1073" t="s">
        <v>385</v>
      </c>
      <c r="C276" s="1070"/>
      <c r="D276" s="1070"/>
      <c r="E276" s="1087" t="s">
        <v>1587</v>
      </c>
      <c r="F276" s="1088"/>
      <c r="G276" s="1099">
        <f>SUM(G278:G279)</f>
        <v>2053060</v>
      </c>
      <c r="H276" s="1094"/>
      <c r="I276" s="1099">
        <v>2449573</v>
      </c>
      <c r="K276" s="760"/>
      <c r="L276" s="761"/>
    </row>
    <row r="277" spans="1:12" s="732" customFormat="1" ht="9" customHeight="1">
      <c r="A277" s="1087"/>
      <c r="B277" s="1073"/>
      <c r="C277" s="1070"/>
      <c r="D277" s="1070"/>
      <c r="E277" s="1087"/>
      <c r="F277" s="1088"/>
      <c r="G277" s="1093"/>
      <c r="H277" s="1094"/>
      <c r="I277" s="1173"/>
      <c r="K277" s="760"/>
      <c r="L277" s="761"/>
    </row>
    <row r="278" spans="1:12" s="732" customFormat="1" ht="15">
      <c r="A278" s="1087"/>
      <c r="B278" s="1077" t="s">
        <v>183</v>
      </c>
      <c r="C278" s="1070"/>
      <c r="D278" s="1070"/>
      <c r="E278" s="1089"/>
      <c r="F278" s="1090"/>
      <c r="G278" s="1128">
        <f>I286+I287</f>
        <v>3169307</v>
      </c>
      <c r="H278" s="1097"/>
      <c r="I278" s="1128">
        <v>2971517</v>
      </c>
      <c r="K278" s="760"/>
      <c r="L278" s="761"/>
    </row>
    <row r="279" spans="1:12" s="732" customFormat="1" ht="15">
      <c r="A279" s="1072"/>
      <c r="B279" s="1077" t="s">
        <v>1045</v>
      </c>
      <c r="C279" s="1070"/>
      <c r="D279" s="1070"/>
      <c r="E279" s="1069"/>
      <c r="F279" s="1070"/>
      <c r="G279" s="1129">
        <f>I288</f>
        <v>-1116247</v>
      </c>
      <c r="H279" s="1097"/>
      <c r="I279" s="1129">
        <v>-521944</v>
      </c>
      <c r="K279" s="760"/>
      <c r="L279" s="761"/>
    </row>
    <row r="280" spans="1:9" ht="9" customHeight="1">
      <c r="A280" s="1091"/>
      <c r="B280" s="1077"/>
      <c r="C280" s="1070"/>
      <c r="D280" s="1070"/>
      <c r="E280" s="1069" t="s">
        <v>1587</v>
      </c>
      <c r="F280" s="1070"/>
      <c r="G280" s="1096"/>
      <c r="H280" s="1097"/>
      <c r="I280" s="1095"/>
    </row>
    <row r="281" spans="1:9" ht="15">
      <c r="A281" s="1072"/>
      <c r="B281" s="1077" t="s">
        <v>387</v>
      </c>
      <c r="C281" s="1070"/>
      <c r="D281" s="1070"/>
      <c r="E281" s="1069"/>
      <c r="F281" s="1070"/>
      <c r="G281" s="1095">
        <v>1761088</v>
      </c>
      <c r="H281" s="1097"/>
      <c r="I281" s="1095">
        <v>0</v>
      </c>
    </row>
    <row r="282" spans="1:9" ht="15">
      <c r="A282" s="1072"/>
      <c r="B282" s="1077" t="s">
        <v>771</v>
      </c>
      <c r="C282" s="1070"/>
      <c r="D282" s="1070"/>
      <c r="E282" s="1069"/>
      <c r="F282" s="1070"/>
      <c r="G282" s="1095">
        <v>-736871</v>
      </c>
      <c r="H282" s="1097"/>
      <c r="I282" s="1095">
        <v>-594303</v>
      </c>
    </row>
    <row r="283" spans="1:9" ht="9" customHeight="1">
      <c r="A283" s="1090"/>
      <c r="B283" s="1070"/>
      <c r="C283" s="1070"/>
      <c r="D283" s="1070"/>
      <c r="E283" s="1069"/>
      <c r="F283" s="1070"/>
      <c r="G283" s="1096"/>
      <c r="H283" s="1097"/>
      <c r="I283" s="1095"/>
    </row>
    <row r="284" spans="1:9" ht="15">
      <c r="A284" s="1072"/>
      <c r="B284" s="1073" t="s">
        <v>386</v>
      </c>
      <c r="C284" s="1070"/>
      <c r="D284" s="1070"/>
      <c r="E284" s="1069"/>
      <c r="F284" s="1069"/>
      <c r="G284" s="1099">
        <f>G286+G288</f>
        <v>3077277</v>
      </c>
      <c r="H284" s="1094"/>
      <c r="I284" s="1099">
        <f>SUM(I286:I288)</f>
        <v>2053060</v>
      </c>
    </row>
    <row r="285" spans="1:9" ht="9" customHeight="1">
      <c r="A285" s="1072"/>
      <c r="B285" s="1073"/>
      <c r="C285" s="1070"/>
      <c r="D285" s="1070"/>
      <c r="E285" s="1069"/>
      <c r="F285" s="1069"/>
      <c r="G285" s="1098"/>
      <c r="H285" s="1094"/>
      <c r="I285" s="1095"/>
    </row>
    <row r="286" spans="1:9" ht="15">
      <c r="A286" s="1072"/>
      <c r="B286" s="1077" t="s">
        <v>183</v>
      </c>
      <c r="C286" s="1070"/>
      <c r="D286" s="1070"/>
      <c r="E286" s="1069"/>
      <c r="F286" s="1069"/>
      <c r="G286" s="1128">
        <f>G278+G281</f>
        <v>4930395</v>
      </c>
      <c r="H286" s="1097"/>
      <c r="I286" s="1128">
        <v>2971517</v>
      </c>
    </row>
    <row r="287" spans="1:9" ht="15">
      <c r="A287" s="1072"/>
      <c r="B287" s="1077" t="s">
        <v>749</v>
      </c>
      <c r="C287" s="1070"/>
      <c r="D287" s="1070"/>
      <c r="E287" s="1069"/>
      <c r="F287" s="1069"/>
      <c r="G287" s="1130">
        <v>0</v>
      </c>
      <c r="H287" s="1097"/>
      <c r="I287" s="1130">
        <v>197790</v>
      </c>
    </row>
    <row r="288" spans="1:9" ht="15">
      <c r="A288" s="1072"/>
      <c r="B288" s="1077" t="s">
        <v>1045</v>
      </c>
      <c r="C288" s="1070"/>
      <c r="D288" s="1070"/>
      <c r="E288" s="1069"/>
      <c r="F288" s="1069"/>
      <c r="G288" s="1129">
        <f>G279+G282</f>
        <v>-1853118</v>
      </c>
      <c r="H288" s="1097"/>
      <c r="I288" s="1129">
        <v>-1116247</v>
      </c>
    </row>
    <row r="289" spans="1:12" s="821" customFormat="1" ht="9" customHeight="1">
      <c r="A289" s="1253"/>
      <c r="B289" s="1253"/>
      <c r="C289" s="1253"/>
      <c r="D289" s="1253"/>
      <c r="E289" s="1253"/>
      <c r="F289" s="1253"/>
      <c r="G289" s="1253"/>
      <c r="H289" s="1253"/>
      <c r="I289" s="1253"/>
      <c r="K289" s="822"/>
      <c r="L289" s="823"/>
    </row>
    <row r="290" spans="1:12" s="732" customFormat="1" ht="15">
      <c r="A290" s="753">
        <v>12</v>
      </c>
      <c r="B290" s="795" t="s">
        <v>893</v>
      </c>
      <c r="C290" s="754"/>
      <c r="D290" s="754"/>
      <c r="E290" s="755"/>
      <c r="F290" s="754"/>
      <c r="G290" s="756"/>
      <c r="H290" s="757"/>
      <c r="I290" s="754"/>
      <c r="J290" s="732" t="s">
        <v>349</v>
      </c>
      <c r="K290" s="760"/>
      <c r="L290" s="761"/>
    </row>
    <row r="291" spans="1:12" s="732" customFormat="1" ht="9" customHeight="1">
      <c r="A291" s="753"/>
      <c r="B291" s="795"/>
      <c r="C291" s="754"/>
      <c r="D291" s="754"/>
      <c r="E291" s="755"/>
      <c r="F291" s="754"/>
      <c r="G291" s="756"/>
      <c r="H291" s="757"/>
      <c r="I291" s="754"/>
      <c r="K291" s="760"/>
      <c r="L291" s="761"/>
    </row>
    <row r="292" spans="1:12" s="732" customFormat="1" ht="15">
      <c r="A292" s="753"/>
      <c r="B292" s="776" t="s">
        <v>1040</v>
      </c>
      <c r="C292" s="754"/>
      <c r="D292" s="754"/>
      <c r="E292" s="754"/>
      <c r="F292" s="754"/>
      <c r="G292" s="770">
        <v>156200100</v>
      </c>
      <c r="H292" s="757"/>
      <c r="I292" s="757">
        <f>69542000+2412100</f>
        <v>71954100</v>
      </c>
      <c r="J292" s="732" t="s">
        <v>867</v>
      </c>
      <c r="K292" s="760"/>
      <c r="L292" s="761"/>
    </row>
    <row r="293" spans="1:12" s="732" customFormat="1" ht="15">
      <c r="A293" s="753"/>
      <c r="B293" s="776" t="s">
        <v>1054</v>
      </c>
      <c r="C293" s="754"/>
      <c r="D293" s="754"/>
      <c r="E293" s="755"/>
      <c r="F293" s="754"/>
      <c r="G293" s="770">
        <v>10930666</v>
      </c>
      <c r="H293" s="757"/>
      <c r="I293" s="757">
        <v>10997860</v>
      </c>
      <c r="K293" s="760"/>
      <c r="L293" s="761"/>
    </row>
    <row r="294" spans="1:12" s="732" customFormat="1" ht="15">
      <c r="A294" s="753"/>
      <c r="B294" s="776" t="s">
        <v>1055</v>
      </c>
      <c r="C294" s="754"/>
      <c r="D294" s="754"/>
      <c r="E294" s="755"/>
      <c r="F294" s="754"/>
      <c r="G294" s="770">
        <v>3495567</v>
      </c>
      <c r="H294" s="757"/>
      <c r="I294" s="757">
        <v>2869543</v>
      </c>
      <c r="K294" s="760"/>
      <c r="L294" s="761"/>
    </row>
    <row r="295" spans="1:12" s="732" customFormat="1" ht="15">
      <c r="A295" s="753"/>
      <c r="B295" s="776" t="s">
        <v>646</v>
      </c>
      <c r="C295" s="754"/>
      <c r="D295" s="754"/>
      <c r="E295" s="755"/>
      <c r="F295" s="754"/>
      <c r="G295" s="770">
        <v>63459</v>
      </c>
      <c r="H295" s="757"/>
      <c r="I295" s="757">
        <v>30775</v>
      </c>
      <c r="K295" s="760">
        <v>190822</v>
      </c>
      <c r="L295" s="761"/>
    </row>
    <row r="296" spans="1:12" s="732" customFormat="1" ht="15">
      <c r="A296" s="753"/>
      <c r="B296" s="776" t="s">
        <v>1056</v>
      </c>
      <c r="C296" s="754"/>
      <c r="D296" s="754"/>
      <c r="E296" s="755"/>
      <c r="F296" s="754"/>
      <c r="G296" s="1101">
        <v>0</v>
      </c>
      <c r="H296" s="757"/>
      <c r="I296" s="757">
        <v>206817</v>
      </c>
      <c r="K296" s="760">
        <f>170341010</f>
        <v>170341010</v>
      </c>
      <c r="L296" s="761"/>
    </row>
    <row r="297" spans="1:12" s="732" customFormat="1" ht="15">
      <c r="A297" s="753"/>
      <c r="B297" s="776" t="s">
        <v>388</v>
      </c>
      <c r="C297" s="754"/>
      <c r="D297" s="754"/>
      <c r="E297" s="755"/>
      <c r="F297" s="754"/>
      <c r="G297" s="770">
        <v>-157959</v>
      </c>
      <c r="H297" s="757"/>
      <c r="I297" s="757">
        <v>-166968</v>
      </c>
      <c r="J297" s="732" t="s">
        <v>516</v>
      </c>
      <c r="K297" s="760"/>
      <c r="L297" s="761"/>
    </row>
    <row r="298" spans="1:12" s="732" customFormat="1" ht="9" customHeight="1">
      <c r="A298" s="753"/>
      <c r="B298" s="776"/>
      <c r="C298" s="754"/>
      <c r="D298" s="754"/>
      <c r="E298" s="755"/>
      <c r="F298" s="754"/>
      <c r="G298" s="770"/>
      <c r="H298" s="757"/>
      <c r="I298" s="770"/>
      <c r="K298" s="760"/>
      <c r="L298" s="761"/>
    </row>
    <row r="299" spans="1:12" s="732" customFormat="1" ht="15.75" thickBot="1">
      <c r="A299" s="753"/>
      <c r="B299" s="795"/>
      <c r="C299" s="754"/>
      <c r="D299" s="754"/>
      <c r="E299" s="755"/>
      <c r="F299" s="754"/>
      <c r="G299" s="773">
        <f>G292+G293+G294+G295+G296+G297</f>
        <v>170531833</v>
      </c>
      <c r="H299" s="757"/>
      <c r="I299" s="773">
        <f>SUM(I292:I298)</f>
        <v>85892127</v>
      </c>
      <c r="J299" s="732" t="s">
        <v>319</v>
      </c>
      <c r="K299" s="760"/>
      <c r="L299" s="761"/>
    </row>
    <row r="300" spans="1:12" s="732" customFormat="1" ht="9" customHeight="1" thickTop="1">
      <c r="A300" s="753"/>
      <c r="B300" s="795"/>
      <c r="C300" s="754"/>
      <c r="D300" s="754"/>
      <c r="E300" s="755"/>
      <c r="F300" s="754"/>
      <c r="G300" s="780"/>
      <c r="H300" s="757"/>
      <c r="I300" s="770"/>
      <c r="K300" s="760"/>
      <c r="L300" s="761"/>
    </row>
    <row r="301" spans="1:12" s="732" customFormat="1" ht="36" customHeight="1">
      <c r="A301" s="753"/>
      <c r="B301" s="1274" t="s">
        <v>634</v>
      </c>
      <c r="C301" s="1275"/>
      <c r="D301" s="1275"/>
      <c r="E301" s="1275"/>
      <c r="F301" s="776"/>
      <c r="G301" s="776"/>
      <c r="H301" s="776"/>
      <c r="I301" s="776"/>
      <c r="K301" s="760"/>
      <c r="L301" s="761"/>
    </row>
    <row r="302" spans="1:12" s="732" customFormat="1" ht="15">
      <c r="A302" s="753">
        <v>13</v>
      </c>
      <c r="B302" s="795" t="s">
        <v>1310</v>
      </c>
      <c r="C302" s="830"/>
      <c r="D302" s="830"/>
      <c r="E302" s="830"/>
      <c r="F302" s="830"/>
      <c r="G302" s="831"/>
      <c r="H302" s="830"/>
      <c r="I302" s="1174"/>
      <c r="K302" s="760"/>
      <c r="L302" s="761"/>
    </row>
    <row r="303" spans="1:12" s="732" customFormat="1" ht="9" customHeight="1">
      <c r="A303" s="753"/>
      <c r="B303" s="795"/>
      <c r="C303" s="830"/>
      <c r="D303" s="830"/>
      <c r="E303" s="830"/>
      <c r="F303" s="830"/>
      <c r="G303" s="831"/>
      <c r="H303" s="830"/>
      <c r="I303" s="1174"/>
      <c r="K303" s="760"/>
      <c r="L303" s="761"/>
    </row>
    <row r="304" spans="1:12" s="732" customFormat="1" ht="30">
      <c r="A304" s="731"/>
      <c r="B304" s="832" t="s">
        <v>580</v>
      </c>
      <c r="C304" s="754"/>
      <c r="D304" s="754"/>
      <c r="E304" s="824" t="s">
        <v>389</v>
      </c>
      <c r="F304" s="799"/>
      <c r="G304" s="833" t="s">
        <v>391</v>
      </c>
      <c r="H304" s="826"/>
      <c r="I304" s="1191" t="s">
        <v>275</v>
      </c>
      <c r="J304" s="732" t="s">
        <v>458</v>
      </c>
      <c r="K304" s="760"/>
      <c r="L304" s="761">
        <v>27157454</v>
      </c>
    </row>
    <row r="305" spans="1:12" s="732" customFormat="1" ht="15">
      <c r="A305" s="753"/>
      <c r="C305" s="754"/>
      <c r="D305" s="754"/>
      <c r="E305" s="753" t="s">
        <v>1186</v>
      </c>
      <c r="F305" s="799"/>
      <c r="G305" s="834" t="s">
        <v>1186</v>
      </c>
      <c r="H305" s="835"/>
      <c r="I305" s="1102" t="s">
        <v>1186</v>
      </c>
      <c r="J305" s="732" t="s">
        <v>443</v>
      </c>
      <c r="K305" s="760"/>
      <c r="L305" s="761">
        <v>-24867477</v>
      </c>
    </row>
    <row r="306" spans="1:12" s="732" customFormat="1" ht="9" customHeight="1">
      <c r="A306" s="753"/>
      <c r="C306" s="754"/>
      <c r="D306" s="754"/>
      <c r="E306" s="753"/>
      <c r="F306" s="799"/>
      <c r="G306" s="834"/>
      <c r="H306" s="835"/>
      <c r="I306" s="1102"/>
      <c r="K306" s="760"/>
      <c r="L306" s="761"/>
    </row>
    <row r="307" spans="1:12" s="732" customFormat="1" ht="15">
      <c r="A307" s="753"/>
      <c r="B307" s="776" t="s">
        <v>873</v>
      </c>
      <c r="C307" s="754"/>
      <c r="D307" s="754"/>
      <c r="E307" s="758">
        <v>117286364</v>
      </c>
      <c r="F307" s="758"/>
      <c r="G307" s="756">
        <v>94889766</v>
      </c>
      <c r="H307" s="764"/>
      <c r="I307" s="756">
        <f aca="true" t="shared" si="0" ref="I307:I314">E307-G307</f>
        <v>22396598</v>
      </c>
      <c r="J307" s="732" t="s">
        <v>512</v>
      </c>
      <c r="K307" s="760"/>
      <c r="L307" s="761">
        <v>-656313</v>
      </c>
    </row>
    <row r="308" spans="1:12" s="732" customFormat="1" ht="15">
      <c r="A308" s="753"/>
      <c r="B308" s="776" t="s">
        <v>1169</v>
      </c>
      <c r="C308" s="754"/>
      <c r="D308" s="754"/>
      <c r="E308" s="758">
        <v>53740069</v>
      </c>
      <c r="F308" s="758"/>
      <c r="G308" s="756">
        <v>15086098</v>
      </c>
      <c r="H308" s="764"/>
      <c r="I308" s="756">
        <f t="shared" si="0"/>
        <v>38653971</v>
      </c>
      <c r="J308" s="732" t="s">
        <v>512</v>
      </c>
      <c r="K308" s="760"/>
      <c r="L308" s="761">
        <v>-198857</v>
      </c>
    </row>
    <row r="309" spans="1:12" s="732" customFormat="1" ht="15">
      <c r="A309" s="753"/>
      <c r="B309" s="776" t="s">
        <v>1167</v>
      </c>
      <c r="C309" s="754"/>
      <c r="D309" s="754"/>
      <c r="E309" s="758">
        <v>109507687</v>
      </c>
      <c r="F309" s="758"/>
      <c r="G309" s="756">
        <v>85608870</v>
      </c>
      <c r="H309" s="764"/>
      <c r="I309" s="756">
        <f t="shared" si="0"/>
        <v>23898817</v>
      </c>
      <c r="J309" s="732" t="s">
        <v>512</v>
      </c>
      <c r="K309" s="760"/>
      <c r="L309" s="761">
        <v>-182782</v>
      </c>
    </row>
    <row r="310" spans="1:12" s="732" customFormat="1" ht="15">
      <c r="A310" s="753"/>
      <c r="B310" s="776" t="s">
        <v>272</v>
      </c>
      <c r="C310" s="754"/>
      <c r="D310" s="754"/>
      <c r="E310" s="758">
        <v>72836858</v>
      </c>
      <c r="F310" s="758"/>
      <c r="G310" s="756">
        <v>60961054</v>
      </c>
      <c r="H310" s="764"/>
      <c r="I310" s="756">
        <f t="shared" si="0"/>
        <v>11875804</v>
      </c>
      <c r="J310" s="732" t="s">
        <v>512</v>
      </c>
      <c r="K310" s="760"/>
      <c r="L310" s="761">
        <v>-193694</v>
      </c>
    </row>
    <row r="311" spans="1:12" s="732" customFormat="1" ht="15">
      <c r="A311" s="753"/>
      <c r="B311" s="776" t="s">
        <v>273</v>
      </c>
      <c r="C311" s="754"/>
      <c r="D311" s="754"/>
      <c r="E311" s="758">
        <v>128342633</v>
      </c>
      <c r="F311" s="758"/>
      <c r="G311" s="756">
        <v>115194724</v>
      </c>
      <c r="H311" s="764"/>
      <c r="I311" s="756">
        <f t="shared" si="0"/>
        <v>13147909</v>
      </c>
      <c r="J311" s="732" t="s">
        <v>512</v>
      </c>
      <c r="K311" s="760"/>
      <c r="L311" s="761">
        <v>-165065</v>
      </c>
    </row>
    <row r="312" spans="1:12" s="732" customFormat="1" ht="15">
      <c r="A312" s="753"/>
      <c r="B312" s="776" t="s">
        <v>1084</v>
      </c>
      <c r="C312" s="754"/>
      <c r="D312" s="754"/>
      <c r="E312" s="764">
        <v>63685360</v>
      </c>
      <c r="F312" s="764"/>
      <c r="G312" s="776">
        <v>0</v>
      </c>
      <c r="H312" s="764"/>
      <c r="I312" s="756">
        <f t="shared" si="0"/>
        <v>63685360</v>
      </c>
      <c r="J312" s="732" t="s">
        <v>512</v>
      </c>
      <c r="K312" s="760"/>
      <c r="L312" s="761">
        <f>SUM(L304:L311)</f>
        <v>893266</v>
      </c>
    </row>
    <row r="313" spans="1:12" s="732" customFormat="1" ht="15">
      <c r="A313" s="753"/>
      <c r="B313" s="776" t="s">
        <v>274</v>
      </c>
      <c r="C313" s="754"/>
      <c r="D313" s="754"/>
      <c r="E313" s="764">
        <v>77541951</v>
      </c>
      <c r="F313" s="764"/>
      <c r="G313" s="756">
        <v>75396655</v>
      </c>
      <c r="H313" s="811" t="s">
        <v>1587</v>
      </c>
      <c r="I313" s="756">
        <f t="shared" si="0"/>
        <v>2145296</v>
      </c>
      <c r="J313" s="732" t="s">
        <v>512</v>
      </c>
      <c r="K313" s="760"/>
      <c r="L313" s="761"/>
    </row>
    <row r="314" spans="1:15" s="732" customFormat="1" ht="15">
      <c r="A314" s="753"/>
      <c r="B314" s="776" t="s">
        <v>1178</v>
      </c>
      <c r="C314" s="754"/>
      <c r="D314" s="754"/>
      <c r="E314" s="764">
        <f>SUM(E307:E313)</f>
        <v>622940922</v>
      </c>
      <c r="F314" s="764"/>
      <c r="G314" s="764">
        <f>SUM(G307:G313)</f>
        <v>447137167</v>
      </c>
      <c r="H314" s="764"/>
      <c r="I314" s="765">
        <f t="shared" si="0"/>
        <v>175803755</v>
      </c>
      <c r="J314" s="732" t="s">
        <v>444</v>
      </c>
      <c r="K314" s="760">
        <f>E314-560573136</f>
        <v>62367786</v>
      </c>
      <c r="L314" s="761"/>
      <c r="O314" s="732">
        <v>204507890.12</v>
      </c>
    </row>
    <row r="315" spans="1:15" s="732" customFormat="1" ht="15">
      <c r="A315" s="753"/>
      <c r="B315" s="1273" t="s">
        <v>390</v>
      </c>
      <c r="C315" s="1276"/>
      <c r="D315" s="757"/>
      <c r="E315" s="764">
        <v>21272687</v>
      </c>
      <c r="F315" s="764"/>
      <c r="G315" s="811" t="s">
        <v>957</v>
      </c>
      <c r="H315" s="764" t="s">
        <v>1587</v>
      </c>
      <c r="I315" s="765">
        <f>E315</f>
        <v>21272687</v>
      </c>
      <c r="J315" s="732" t="s">
        <v>517</v>
      </c>
      <c r="K315" s="760"/>
      <c r="L315" s="761"/>
      <c r="O315" s="732">
        <v>21272687.24</v>
      </c>
    </row>
    <row r="316" spans="1:12" s="732" customFormat="1" ht="9" customHeight="1">
      <c r="A316" s="753"/>
      <c r="B316" s="776"/>
      <c r="D316" s="757"/>
      <c r="E316" s="764"/>
      <c r="F316" s="764"/>
      <c r="G316" s="811"/>
      <c r="H316" s="764" t="s">
        <v>1587</v>
      </c>
      <c r="I316" s="765"/>
      <c r="K316" s="760"/>
      <c r="L316" s="761"/>
    </row>
    <row r="317" spans="1:15" s="732" customFormat="1" ht="15.75" thickBot="1">
      <c r="A317" s="753"/>
      <c r="B317" s="795"/>
      <c r="C317" s="757"/>
      <c r="D317" s="757"/>
      <c r="E317" s="779">
        <f>SUM(E314+E315)</f>
        <v>644213609</v>
      </c>
      <c r="F317" s="764"/>
      <c r="G317" s="771">
        <f>SUM(G314:G315)</f>
        <v>447137167</v>
      </c>
      <c r="H317" s="810"/>
      <c r="I317" s="779">
        <f>SUM(I314:I315)</f>
        <v>197076442</v>
      </c>
      <c r="K317" s="760"/>
      <c r="L317" s="761"/>
      <c r="O317" s="754" t="s">
        <v>1587</v>
      </c>
    </row>
    <row r="318" spans="1:12" s="732" customFormat="1" ht="9" customHeight="1" thickTop="1">
      <c r="A318" s="753"/>
      <c r="B318" s="795"/>
      <c r="C318" s="757"/>
      <c r="D318" s="757"/>
      <c r="E318" s="781"/>
      <c r="F318" s="743"/>
      <c r="G318" s="780"/>
      <c r="H318" s="781" t="s">
        <v>1587</v>
      </c>
      <c r="I318" s="757"/>
      <c r="K318" s="760"/>
      <c r="L318" s="761"/>
    </row>
    <row r="319" spans="1:12" s="732" customFormat="1" ht="30">
      <c r="A319" s="753"/>
      <c r="B319" s="832" t="s">
        <v>440</v>
      </c>
      <c r="C319" s="754"/>
      <c r="D319" s="754"/>
      <c r="E319" s="824" t="s">
        <v>389</v>
      </c>
      <c r="F319" s="799"/>
      <c r="G319" s="833" t="s">
        <v>391</v>
      </c>
      <c r="H319" s="826" t="s">
        <v>1587</v>
      </c>
      <c r="I319" s="1191" t="s">
        <v>275</v>
      </c>
      <c r="K319" s="760"/>
      <c r="L319" s="761"/>
    </row>
    <row r="320" spans="1:12" s="732" customFormat="1" ht="15" customHeight="1">
      <c r="A320" s="753"/>
      <c r="C320" s="754"/>
      <c r="D320" s="754"/>
      <c r="E320" s="826" t="s">
        <v>1186</v>
      </c>
      <c r="F320" s="837"/>
      <c r="G320" s="809" t="s">
        <v>1186</v>
      </c>
      <c r="H320" s="835"/>
      <c r="I320" s="1192" t="s">
        <v>1186</v>
      </c>
      <c r="K320" s="760"/>
      <c r="L320" s="761"/>
    </row>
    <row r="321" spans="1:12" s="732" customFormat="1" ht="15">
      <c r="A321" s="753"/>
      <c r="C321" s="754"/>
      <c r="D321" s="754"/>
      <c r="E321" s="826"/>
      <c r="F321" s="837"/>
      <c r="G321" s="809"/>
      <c r="H321" s="835"/>
      <c r="I321" s="825"/>
      <c r="K321" s="760" t="s">
        <v>1587</v>
      </c>
      <c r="L321" s="761"/>
    </row>
    <row r="322" spans="1:12" s="732" customFormat="1" ht="15">
      <c r="A322" s="753"/>
      <c r="B322" s="776" t="s">
        <v>873</v>
      </c>
      <c r="C322" s="754"/>
      <c r="D322" s="754"/>
      <c r="E322" s="764">
        <v>117430883</v>
      </c>
      <c r="F322" s="764"/>
      <c r="G322" s="770">
        <v>79797848</v>
      </c>
      <c r="H322" s="764"/>
      <c r="I322" s="765">
        <f>SUM(E322-G322)</f>
        <v>37633035</v>
      </c>
      <c r="K322" s="760" t="s">
        <v>1587</v>
      </c>
      <c r="L322" s="761"/>
    </row>
    <row r="323" spans="1:12" s="732" customFormat="1" ht="15">
      <c r="A323" s="753"/>
      <c r="B323" s="776" t="s">
        <v>1169</v>
      </c>
      <c r="C323" s="754"/>
      <c r="D323" s="754"/>
      <c r="E323" s="764">
        <v>39305692</v>
      </c>
      <c r="F323" s="764"/>
      <c r="G323" s="770">
        <v>30452772</v>
      </c>
      <c r="H323" s="764"/>
      <c r="I323" s="765">
        <f aca="true" t="shared" si="1" ref="I323:I330">SUM(E323-G323)</f>
        <v>8852920</v>
      </c>
      <c r="K323" s="760" t="s">
        <v>1587</v>
      </c>
      <c r="L323" s="761"/>
    </row>
    <row r="324" spans="1:12" s="732" customFormat="1" ht="15">
      <c r="A324" s="753"/>
      <c r="B324" s="776" t="s">
        <v>1167</v>
      </c>
      <c r="C324" s="754"/>
      <c r="D324" s="754"/>
      <c r="E324" s="764">
        <v>97141096</v>
      </c>
      <c r="F324" s="764"/>
      <c r="G324" s="770">
        <v>92690976</v>
      </c>
      <c r="H324" s="764"/>
      <c r="I324" s="765">
        <f t="shared" si="1"/>
        <v>4450120</v>
      </c>
      <c r="K324" s="760" t="s">
        <v>1587</v>
      </c>
      <c r="L324" s="761"/>
    </row>
    <row r="325" spans="1:12" s="732" customFormat="1" ht="15">
      <c r="A325" s="753"/>
      <c r="B325" s="776" t="s">
        <v>272</v>
      </c>
      <c r="C325" s="754"/>
      <c r="D325" s="754"/>
      <c r="E325" s="764">
        <v>66804274</v>
      </c>
      <c r="F325" s="764"/>
      <c r="G325" s="770">
        <v>64353814</v>
      </c>
      <c r="H325" s="764"/>
      <c r="I325" s="765">
        <f t="shared" si="1"/>
        <v>2450460</v>
      </c>
      <c r="K325" s="760" t="s">
        <v>1587</v>
      </c>
      <c r="L325" s="761"/>
    </row>
    <row r="326" spans="1:12" s="732" customFormat="1" ht="15">
      <c r="A326" s="753"/>
      <c r="B326" s="776" t="s">
        <v>273</v>
      </c>
      <c r="C326" s="754"/>
      <c r="D326" s="754"/>
      <c r="E326" s="764">
        <v>119479636</v>
      </c>
      <c r="F326" s="764"/>
      <c r="G326" s="770">
        <v>117633036</v>
      </c>
      <c r="H326" s="764"/>
      <c r="I326" s="765">
        <f t="shared" si="1"/>
        <v>1846600</v>
      </c>
      <c r="K326" s="760" t="s">
        <v>1587</v>
      </c>
      <c r="L326" s="761"/>
    </row>
    <row r="327" spans="1:12" s="732" customFormat="1" ht="15">
      <c r="A327" s="753"/>
      <c r="B327" s="776" t="s">
        <v>1084</v>
      </c>
      <c r="C327" s="754"/>
      <c r="D327" s="754"/>
      <c r="E327" s="764">
        <v>54982233</v>
      </c>
      <c r="F327" s="764"/>
      <c r="G327" s="776">
        <v>0</v>
      </c>
      <c r="H327" s="764"/>
      <c r="I327" s="765">
        <f t="shared" si="1"/>
        <v>54982233</v>
      </c>
      <c r="K327" s="760" t="s">
        <v>1587</v>
      </c>
      <c r="L327" s="761"/>
    </row>
    <row r="328" spans="1:12" s="732" customFormat="1" ht="15">
      <c r="A328" s="753"/>
      <c r="B328" s="776" t="s">
        <v>274</v>
      </c>
      <c r="C328" s="754"/>
      <c r="D328" s="754"/>
      <c r="E328" s="764">
        <f>65429839+32715</f>
        <v>65462554</v>
      </c>
      <c r="F328" s="764"/>
      <c r="G328" s="770">
        <v>65808280</v>
      </c>
      <c r="H328" s="764"/>
      <c r="I328" s="765">
        <f t="shared" si="1"/>
        <v>-345726</v>
      </c>
      <c r="K328" s="760" t="s">
        <v>1587</v>
      </c>
      <c r="L328" s="761"/>
    </row>
    <row r="329" spans="1:12" s="732" customFormat="1" ht="15">
      <c r="A329" s="753"/>
      <c r="B329" s="776" t="s">
        <v>1178</v>
      </c>
      <c r="C329" s="757"/>
      <c r="D329" s="757"/>
      <c r="E329" s="764">
        <f>SUM(E322:E328)</f>
        <v>560606368</v>
      </c>
      <c r="F329" s="764"/>
      <c r="G329" s="770">
        <f>SUM(G322:G328)</f>
        <v>450736726</v>
      </c>
      <c r="H329" s="764"/>
      <c r="I329" s="765">
        <f t="shared" si="1"/>
        <v>109869642</v>
      </c>
      <c r="K329" s="760" t="s">
        <v>1587</v>
      </c>
      <c r="L329" s="761"/>
    </row>
    <row r="330" spans="1:12" s="732" customFormat="1" ht="15">
      <c r="A330" s="753"/>
      <c r="B330" s="1273" t="s">
        <v>390</v>
      </c>
      <c r="C330" s="1276"/>
      <c r="D330" s="757"/>
      <c r="E330" s="764">
        <v>27157454</v>
      </c>
      <c r="F330" s="764"/>
      <c r="G330" s="825">
        <v>0</v>
      </c>
      <c r="H330" s="764"/>
      <c r="I330" s="765">
        <f t="shared" si="1"/>
        <v>27157454</v>
      </c>
      <c r="K330" s="760"/>
      <c r="L330" s="761"/>
    </row>
    <row r="331" spans="1:12" s="732" customFormat="1" ht="9" customHeight="1">
      <c r="A331" s="753"/>
      <c r="B331" s="776"/>
      <c r="D331" s="757"/>
      <c r="E331" s="764"/>
      <c r="F331" s="764"/>
      <c r="G331" s="825"/>
      <c r="H331" s="764"/>
      <c r="I331" s="765"/>
      <c r="K331" s="760"/>
      <c r="L331" s="761"/>
    </row>
    <row r="332" spans="1:12" s="732" customFormat="1" ht="15.75" thickBot="1">
      <c r="A332" s="753"/>
      <c r="B332" s="795"/>
      <c r="C332" s="757"/>
      <c r="D332" s="757"/>
      <c r="E332" s="779">
        <f>E329+E330</f>
        <v>587763822</v>
      </c>
      <c r="F332" s="764"/>
      <c r="G332" s="778">
        <f>G329+G330</f>
        <v>450736726</v>
      </c>
      <c r="H332" s="810"/>
      <c r="I332" s="779">
        <f>I329+I330</f>
        <v>137027096</v>
      </c>
      <c r="K332" s="760">
        <f>E332</f>
        <v>587763822</v>
      </c>
      <c r="L332" s="761"/>
    </row>
    <row r="333" spans="1:12" s="732" customFormat="1" ht="9" customHeight="1" thickTop="1">
      <c r="A333" s="753"/>
      <c r="B333" s="795"/>
      <c r="C333" s="757"/>
      <c r="D333" s="757"/>
      <c r="E333" s="781" t="s">
        <v>1587</v>
      </c>
      <c r="G333" s="780"/>
      <c r="H333" s="781"/>
      <c r="I333" s="757"/>
      <c r="K333" s="760"/>
      <c r="L333" s="761"/>
    </row>
    <row r="334" spans="1:12" s="732" customFormat="1" ht="15">
      <c r="A334" s="753"/>
      <c r="B334" s="795"/>
      <c r="C334" s="757"/>
      <c r="D334" s="757"/>
      <c r="E334" s="781" t="s">
        <v>1587</v>
      </c>
      <c r="G334" s="838" t="s">
        <v>145</v>
      </c>
      <c r="H334" s="826"/>
      <c r="I334" s="839" t="s">
        <v>262</v>
      </c>
      <c r="K334" s="760"/>
      <c r="L334" s="761"/>
    </row>
    <row r="335" spans="1:12" s="732" customFormat="1" ht="15" customHeight="1">
      <c r="A335" s="753"/>
      <c r="C335" s="754"/>
      <c r="D335" s="754"/>
      <c r="E335" s="755"/>
      <c r="F335" s="754"/>
      <c r="G335" s="809" t="s">
        <v>1186</v>
      </c>
      <c r="H335" s="835"/>
      <c r="I335" s="826" t="s">
        <v>1186</v>
      </c>
      <c r="K335" s="760"/>
      <c r="L335" s="761"/>
    </row>
    <row r="336" spans="1:12" s="732" customFormat="1" ht="9" customHeight="1">
      <c r="A336" s="753"/>
      <c r="C336" s="754"/>
      <c r="D336" s="754"/>
      <c r="E336" s="755"/>
      <c r="F336" s="754"/>
      <c r="G336" s="809"/>
      <c r="H336" s="835"/>
      <c r="I336" s="835"/>
      <c r="K336" s="760"/>
      <c r="L336" s="761"/>
    </row>
    <row r="337" spans="1:12" s="732" customFormat="1" ht="15">
      <c r="A337" s="753"/>
      <c r="B337" s="795" t="s">
        <v>971</v>
      </c>
      <c r="C337" s="754"/>
      <c r="D337" s="754"/>
      <c r="E337" s="755"/>
      <c r="F337" s="754"/>
      <c r="G337" s="809"/>
      <c r="H337" s="835"/>
      <c r="I337" s="835"/>
      <c r="K337" s="760"/>
      <c r="L337" s="761"/>
    </row>
    <row r="338" spans="1:12" s="732" customFormat="1" ht="15">
      <c r="A338" s="753"/>
      <c r="B338" s="776" t="s">
        <v>1326</v>
      </c>
      <c r="C338" s="754"/>
      <c r="D338" s="754"/>
      <c r="E338" s="755" t="s">
        <v>1587</v>
      </c>
      <c r="F338" s="754"/>
      <c r="G338" s="756">
        <f>54807476+139975.92-188094.71-59435.62-1043937.8-15+8597188.55+1992.59+9530.8+4000.43+34196.39</f>
        <v>62302878</v>
      </c>
      <c r="H338" s="757"/>
      <c r="I338" s="756">
        <v>14984448</v>
      </c>
      <c r="K338" s="760"/>
      <c r="L338" s="761"/>
    </row>
    <row r="339" spans="1:12" s="732" customFormat="1" ht="15">
      <c r="A339" s="753"/>
      <c r="B339" s="776" t="s">
        <v>276</v>
      </c>
      <c r="C339" s="754"/>
      <c r="D339" s="754"/>
      <c r="E339" s="755" t="s">
        <v>1587</v>
      </c>
      <c r="F339" s="754"/>
      <c r="G339" s="756">
        <f>2887791+146579.35-210730.35-443656.85-3465.66+171280.67+843.7+654.25+1011.62</f>
        <v>2550308</v>
      </c>
      <c r="H339" s="757"/>
      <c r="I339" s="756">
        <v>8177624</v>
      </c>
      <c r="K339" s="760"/>
      <c r="L339" s="761"/>
    </row>
    <row r="340" spans="1:12" s="732" customFormat="1" ht="15">
      <c r="A340" s="753"/>
      <c r="B340" s="776" t="s">
        <v>277</v>
      </c>
      <c r="C340" s="754"/>
      <c r="D340" s="754"/>
      <c r="E340" s="755" t="s">
        <v>1587</v>
      </c>
      <c r="F340" s="754"/>
      <c r="G340" s="756">
        <f>2656215+813100.86+2106133.45+3953161.5+4737623.73+172839.86</f>
        <v>14439074</v>
      </c>
      <c r="H340" s="757"/>
      <c r="I340" s="756">
        <v>4988825</v>
      </c>
      <c r="K340" s="760"/>
      <c r="L340" s="761"/>
    </row>
    <row r="341" spans="1:12" s="732" customFormat="1" ht="15">
      <c r="A341" s="753"/>
      <c r="B341" s="776" t="s">
        <v>278</v>
      </c>
      <c r="C341" s="754"/>
      <c r="D341" s="754"/>
      <c r="E341" s="781" t="s">
        <v>1587</v>
      </c>
      <c r="F341" s="754"/>
      <c r="G341" s="765">
        <f>16686064+12035627.02+6750381.69+5573733.01+5941806.38+9930127.92</f>
        <v>56917740</v>
      </c>
      <c r="H341" s="757"/>
      <c r="I341" s="765">
        <v>114147463</v>
      </c>
      <c r="K341" s="760"/>
      <c r="L341" s="761"/>
    </row>
    <row r="342" spans="1:12" s="732" customFormat="1" ht="9" customHeight="1">
      <c r="A342" s="753"/>
      <c r="B342" s="776"/>
      <c r="C342" s="754"/>
      <c r="D342" s="754"/>
      <c r="E342" s="781" t="s">
        <v>1587</v>
      </c>
      <c r="F342" s="754"/>
      <c r="G342" s="765"/>
      <c r="H342" s="757"/>
      <c r="I342" s="765"/>
      <c r="K342" s="760"/>
      <c r="L342" s="761"/>
    </row>
    <row r="343" spans="1:12" s="732" customFormat="1" ht="15.75" thickBot="1">
      <c r="A343" s="753"/>
      <c r="B343" s="795"/>
      <c r="C343" s="755"/>
      <c r="D343" s="755"/>
      <c r="E343" s="772" t="s">
        <v>1587</v>
      </c>
      <c r="F343" s="755"/>
      <c r="G343" s="771">
        <f>SUM(G338:G341)</f>
        <v>136210000</v>
      </c>
      <c r="H343" s="781"/>
      <c r="I343" s="771">
        <v>142298360</v>
      </c>
      <c r="J343" s="732" t="s">
        <v>463</v>
      </c>
      <c r="K343" s="760"/>
      <c r="L343" s="761"/>
    </row>
    <row r="344" spans="1:12" s="732" customFormat="1" ht="9" customHeight="1" thickTop="1">
      <c r="A344" s="753"/>
      <c r="B344" s="795"/>
      <c r="C344" s="755"/>
      <c r="D344" s="755"/>
      <c r="E344" s="772"/>
      <c r="F344" s="755"/>
      <c r="G344" s="780"/>
      <c r="H344" s="781"/>
      <c r="I344" s="770"/>
      <c r="K344" s="760"/>
      <c r="L344" s="761"/>
    </row>
    <row r="345" spans="1:12" s="732" customFormat="1" ht="15">
      <c r="A345" s="753"/>
      <c r="B345" s="795" t="s">
        <v>392</v>
      </c>
      <c r="C345" s="754"/>
      <c r="D345" s="754"/>
      <c r="E345" s="755"/>
      <c r="F345" s="754"/>
      <c r="G345" s="756"/>
      <c r="H345" s="757"/>
      <c r="I345" s="754"/>
      <c r="K345" s="760"/>
      <c r="L345" s="761"/>
    </row>
    <row r="346" spans="1:12" s="732" customFormat="1" ht="15">
      <c r="A346" s="753"/>
      <c r="B346" s="776" t="s">
        <v>1326</v>
      </c>
      <c r="C346" s="754"/>
      <c r="D346" s="754"/>
      <c r="E346" s="755" t="s">
        <v>1587</v>
      </c>
      <c r="F346" s="754"/>
      <c r="G346" s="756">
        <f>64033730+918999.5+537296.08+474070.12+518108.95+1190041.15</f>
        <v>67672246</v>
      </c>
      <c r="H346" s="757"/>
      <c r="I346" s="756">
        <v>36636669</v>
      </c>
      <c r="K346" s="760"/>
      <c r="L346" s="761"/>
    </row>
    <row r="347" spans="1:12" s="732" customFormat="1" ht="15">
      <c r="A347" s="753"/>
      <c r="B347" s="776" t="s">
        <v>276</v>
      </c>
      <c r="C347" s="754"/>
      <c r="D347" s="754"/>
      <c r="E347" s="755" t="s">
        <v>1587</v>
      </c>
      <c r="F347" s="754"/>
      <c r="G347" s="756">
        <f>15563329+408098.01+209718.92+103494.86+199885.61+7198.09</f>
        <v>16491724</v>
      </c>
      <c r="H347" s="757"/>
      <c r="I347" s="756">
        <v>18974813</v>
      </c>
      <c r="K347" s="760"/>
      <c r="L347" s="761"/>
    </row>
    <row r="348" spans="1:12" s="732" customFormat="1" ht="15">
      <c r="A348" s="753"/>
      <c r="B348" s="776" t="s">
        <v>277</v>
      </c>
      <c r="C348" s="754"/>
      <c r="D348" s="754"/>
      <c r="E348" s="755" t="s">
        <v>1587</v>
      </c>
      <c r="F348" s="754"/>
      <c r="G348" s="756">
        <f>7068202+2183199.51+3772188.23+4424798.44+3673643.09+8143.45</f>
        <v>21130175</v>
      </c>
      <c r="H348" s="757"/>
      <c r="I348" s="756">
        <v>7069306</v>
      </c>
      <c r="K348" s="760"/>
      <c r="L348" s="761"/>
    </row>
    <row r="349" spans="1:12" s="732" customFormat="1" ht="15">
      <c r="A349" s="753"/>
      <c r="B349" s="776" t="s">
        <v>278</v>
      </c>
      <c r="C349" s="754"/>
      <c r="D349" s="754"/>
      <c r="E349" s="781" t="s">
        <v>1587</v>
      </c>
      <c r="F349" s="754"/>
      <c r="G349" s="765">
        <f>50432288+52792108.47+52900295.39+52860961.54+51342936.23+465522.37</f>
        <v>260794112</v>
      </c>
      <c r="H349" s="757"/>
      <c r="I349" s="765">
        <v>261281566</v>
      </c>
      <c r="K349" s="760"/>
      <c r="L349" s="761"/>
    </row>
    <row r="350" spans="1:12" s="732" customFormat="1" ht="9" customHeight="1">
      <c r="A350" s="753"/>
      <c r="B350" s="776"/>
      <c r="C350" s="754"/>
      <c r="D350" s="754"/>
      <c r="E350" s="781"/>
      <c r="F350" s="754"/>
      <c r="G350" s="765"/>
      <c r="H350" s="757"/>
      <c r="I350" s="765"/>
      <c r="K350" s="760"/>
      <c r="L350" s="761"/>
    </row>
    <row r="351" spans="1:12" s="732" customFormat="1" ht="15.75" thickBot="1">
      <c r="A351" s="753"/>
      <c r="B351" s="795"/>
      <c r="C351" s="755"/>
      <c r="D351" s="755"/>
      <c r="E351" s="772" t="s">
        <v>1587</v>
      </c>
      <c r="F351" s="755"/>
      <c r="G351" s="771">
        <f>SUM(G346:G349)</f>
        <v>366088257</v>
      </c>
      <c r="H351" s="781"/>
      <c r="I351" s="771">
        <v>323962354</v>
      </c>
      <c r="K351" s="760"/>
      <c r="L351" s="761"/>
    </row>
    <row r="352" spans="1:12" s="732" customFormat="1" ht="10.5" customHeight="1" thickTop="1">
      <c r="A352" s="753"/>
      <c r="B352" s="795"/>
      <c r="C352" s="755"/>
      <c r="D352" s="755"/>
      <c r="E352" s="772"/>
      <c r="F352" s="755"/>
      <c r="G352" s="780"/>
      <c r="H352" s="781"/>
      <c r="I352" s="770"/>
      <c r="K352" s="760"/>
      <c r="L352" s="761"/>
    </row>
    <row r="353" spans="1:12" s="732" customFormat="1" ht="15">
      <c r="A353" s="753"/>
      <c r="B353" s="795" t="s">
        <v>972</v>
      </c>
      <c r="C353" s="754"/>
      <c r="D353" s="754"/>
      <c r="E353" s="755"/>
      <c r="F353" s="754"/>
      <c r="G353" s="756"/>
      <c r="H353" s="757"/>
      <c r="I353" s="754"/>
      <c r="K353" s="760"/>
      <c r="L353" s="761"/>
    </row>
    <row r="354" spans="1:12" s="732" customFormat="1" ht="15">
      <c r="A354" s="753"/>
      <c r="B354" s="776" t="s">
        <v>1326</v>
      </c>
      <c r="C354" s="754" t="s">
        <v>1587</v>
      </c>
      <c r="D354" s="754" t="s">
        <v>1587</v>
      </c>
      <c r="E354" s="840" t="s">
        <v>1587</v>
      </c>
      <c r="F354" s="754"/>
      <c r="G354" s="756">
        <f>17512002+369950.02+208293.59+72309.08+122936.36+166965.65</f>
        <v>18452457</v>
      </c>
      <c r="H354" s="757"/>
      <c r="I354" s="756">
        <v>12024516</v>
      </c>
      <c r="K354" s="760"/>
      <c r="L354" s="761"/>
    </row>
    <row r="355" spans="1:12" s="732" customFormat="1" ht="15">
      <c r="A355" s="753"/>
      <c r="B355" s="776" t="s">
        <v>276</v>
      </c>
      <c r="C355" s="754"/>
      <c r="D355" s="754"/>
      <c r="E355" s="755" t="s">
        <v>1587</v>
      </c>
      <c r="F355" s="754"/>
      <c r="G355" s="756">
        <f>6023990+139339.5+66095.21+23230.61+41461.11+796.97</f>
        <v>6294913</v>
      </c>
      <c r="H355" s="757"/>
      <c r="I355" s="756">
        <v>3832230</v>
      </c>
      <c r="K355" s="760"/>
      <c r="L355" s="761"/>
    </row>
    <row r="356" spans="1:12" s="732" customFormat="1" ht="15">
      <c r="A356" s="753"/>
      <c r="B356" s="776" t="s">
        <v>277</v>
      </c>
      <c r="C356" s="754"/>
      <c r="D356" s="754"/>
      <c r="E356" s="755" t="s">
        <v>1587</v>
      </c>
      <c r="F356" s="754"/>
      <c r="G356" s="756">
        <f>4254840+1449224.31+1887512.49+1763732+2170633.94+2349.67</f>
        <v>11528292</v>
      </c>
      <c r="H356" s="757"/>
      <c r="I356" s="756">
        <v>3039676</v>
      </c>
      <c r="K356" s="760"/>
      <c r="L356" s="761"/>
    </row>
    <row r="357" spans="1:12" s="732" customFormat="1" ht="15">
      <c r="A357" s="753"/>
      <c r="B357" s="776" t="s">
        <v>278</v>
      </c>
      <c r="C357" s="754"/>
      <c r="D357" s="754"/>
      <c r="E357" s="781" t="s">
        <v>1587</v>
      </c>
      <c r="F357" s="754"/>
      <c r="G357" s="765">
        <f>33084544+17897835.56+18510978.23+17874465.55+17763863.83+508003.06</f>
        <v>105639690</v>
      </c>
      <c r="H357" s="757"/>
      <c r="I357" s="765">
        <v>102573971</v>
      </c>
      <c r="J357" s="841" t="s">
        <v>1587</v>
      </c>
      <c r="K357" s="760"/>
      <c r="L357" s="761"/>
    </row>
    <row r="358" spans="1:12" s="732" customFormat="1" ht="15">
      <c r="A358" s="753"/>
      <c r="B358" s="776"/>
      <c r="C358" s="754"/>
      <c r="D358" s="754"/>
      <c r="E358" s="781" t="s">
        <v>1587</v>
      </c>
      <c r="F358" s="754"/>
      <c r="G358" s="765"/>
      <c r="H358" s="757"/>
      <c r="I358" s="765"/>
      <c r="J358" s="841" t="s">
        <v>1587</v>
      </c>
      <c r="K358" s="760"/>
      <c r="L358" s="761"/>
    </row>
    <row r="359" spans="1:17" s="732" customFormat="1" ht="15.75" thickBot="1">
      <c r="A359" s="753"/>
      <c r="C359" s="755"/>
      <c r="D359" s="755"/>
      <c r="E359" s="772" t="s">
        <v>1587</v>
      </c>
      <c r="F359" s="755"/>
      <c r="G359" s="771">
        <f>SUM(G354:G357)</f>
        <v>141915352</v>
      </c>
      <c r="H359" s="781"/>
      <c r="I359" s="771">
        <v>121470393</v>
      </c>
      <c r="J359" s="841" t="s">
        <v>1587</v>
      </c>
      <c r="K359" s="760"/>
      <c r="L359" s="761"/>
      <c r="Q359" s="754"/>
    </row>
    <row r="360" spans="1:17" s="732" customFormat="1" ht="9" customHeight="1" thickTop="1">
      <c r="A360" s="753"/>
      <c r="B360" s="795"/>
      <c r="C360" s="755"/>
      <c r="D360" s="755"/>
      <c r="E360" s="772"/>
      <c r="F360" s="755"/>
      <c r="G360" s="780"/>
      <c r="H360" s="781"/>
      <c r="I360" s="772"/>
      <c r="J360" s="841"/>
      <c r="K360" s="760"/>
      <c r="L360" s="761"/>
      <c r="Q360" s="754"/>
    </row>
    <row r="361" spans="1:17" s="732" customFormat="1" ht="15.75" thickBot="1">
      <c r="A361" s="753"/>
      <c r="B361" s="795" t="s">
        <v>1178</v>
      </c>
      <c r="C361" s="755"/>
      <c r="D361" s="755"/>
      <c r="E361" s="772"/>
      <c r="F361" s="755"/>
      <c r="G361" s="771">
        <f>G343+G351+G359</f>
        <v>644213609</v>
      </c>
      <c r="H361" s="780"/>
      <c r="I361" s="771">
        <f>I343+I351+I359</f>
        <v>587731107</v>
      </c>
      <c r="J361" s="841"/>
      <c r="K361" s="760"/>
      <c r="L361" s="761"/>
      <c r="Q361" s="754"/>
    </row>
    <row r="362" ht="15.75" thickTop="1"/>
    <row r="363" spans="1:12" s="732" customFormat="1" ht="15">
      <c r="A363" s="753"/>
      <c r="B363" s="795" t="s">
        <v>753</v>
      </c>
      <c r="C363" s="755"/>
      <c r="D363" s="755"/>
      <c r="E363" s="755"/>
      <c r="F363" s="755"/>
      <c r="G363" s="796"/>
      <c r="H363" s="781"/>
      <c r="I363" s="754"/>
      <c r="J363" s="732" t="s">
        <v>320</v>
      </c>
      <c r="K363" s="760"/>
      <c r="L363" s="761"/>
    </row>
    <row r="364" spans="1:12" s="732" customFormat="1" ht="15">
      <c r="A364" s="753"/>
      <c r="B364" s="776" t="s">
        <v>961</v>
      </c>
      <c r="C364" s="755"/>
      <c r="D364" s="755"/>
      <c r="E364" s="755" t="s">
        <v>1587</v>
      </c>
      <c r="F364" s="755"/>
      <c r="G364" s="756">
        <f>I368</f>
        <v>511029906</v>
      </c>
      <c r="H364" s="781"/>
      <c r="I364" s="756">
        <v>483464155</v>
      </c>
      <c r="K364" s="760"/>
      <c r="L364" s="761"/>
    </row>
    <row r="365" spans="1:12" s="732" customFormat="1" ht="15">
      <c r="A365" s="753"/>
      <c r="B365" s="776" t="s">
        <v>279</v>
      </c>
      <c r="C365" s="755"/>
      <c r="D365" s="755"/>
      <c r="E365" s="756" t="s">
        <v>1587</v>
      </c>
      <c r="F365" s="755"/>
      <c r="G365" s="756">
        <v>37718352</v>
      </c>
      <c r="H365" s="781"/>
      <c r="I365" s="756">
        <v>98106436</v>
      </c>
      <c r="K365" s="760"/>
      <c r="L365" s="761"/>
    </row>
    <row r="366" spans="1:12" s="732" customFormat="1" ht="15">
      <c r="A366" s="753"/>
      <c r="B366" s="776" t="s">
        <v>393</v>
      </c>
      <c r="C366" s="755"/>
      <c r="D366" s="755"/>
      <c r="E366" s="755"/>
      <c r="F366" s="755"/>
      <c r="G366" s="756">
        <v>-32639324</v>
      </c>
      <c r="H366" s="781"/>
      <c r="I366" s="756">
        <v>-70540685</v>
      </c>
      <c r="K366" s="760"/>
      <c r="L366" s="761"/>
    </row>
    <row r="367" spans="1:12" s="732" customFormat="1" ht="9" customHeight="1">
      <c r="A367" s="753"/>
      <c r="B367" s="776"/>
      <c r="C367" s="755"/>
      <c r="D367" s="755"/>
      <c r="E367" s="755"/>
      <c r="F367" s="755"/>
      <c r="G367" s="756"/>
      <c r="H367" s="781"/>
      <c r="I367" s="756"/>
      <c r="K367" s="760"/>
      <c r="L367" s="761"/>
    </row>
    <row r="368" spans="1:12" s="732" customFormat="1" ht="15.75" thickBot="1">
      <c r="A368" s="753"/>
      <c r="B368" s="776" t="s">
        <v>962</v>
      </c>
      <c r="C368" s="755"/>
      <c r="D368" s="755"/>
      <c r="E368" s="755"/>
      <c r="F368" s="755"/>
      <c r="G368" s="771">
        <f>SUM(G364:G367)</f>
        <v>516108934</v>
      </c>
      <c r="H368" s="781"/>
      <c r="I368" s="771">
        <v>511029906</v>
      </c>
      <c r="J368" s="754">
        <f>I317-G368</f>
        <v>-319032492</v>
      </c>
      <c r="K368" s="760"/>
      <c r="L368" s="761"/>
    </row>
    <row r="369" spans="1:12" s="732" customFormat="1" ht="9" customHeight="1" thickTop="1">
      <c r="A369" s="753"/>
      <c r="B369" s="776"/>
      <c r="C369" s="755"/>
      <c r="D369" s="755"/>
      <c r="E369" s="755"/>
      <c r="F369" s="755"/>
      <c r="G369" s="765"/>
      <c r="H369" s="781"/>
      <c r="I369" s="770"/>
      <c r="J369" s="754"/>
      <c r="K369" s="760"/>
      <c r="L369" s="761"/>
    </row>
    <row r="370" spans="1:12" s="732" customFormat="1" ht="15">
      <c r="A370" s="753"/>
      <c r="B370" s="776" t="s">
        <v>280</v>
      </c>
      <c r="C370" s="754"/>
      <c r="D370" s="755"/>
      <c r="E370" s="755" t="s">
        <v>1587</v>
      </c>
      <c r="F370" s="755"/>
      <c r="G370" s="765"/>
      <c r="H370" s="781"/>
      <c r="I370" s="770"/>
      <c r="K370" s="760"/>
      <c r="L370" s="761"/>
    </row>
    <row r="371" spans="1:12" s="732" customFormat="1" ht="9" customHeight="1">
      <c r="A371" s="753"/>
      <c r="B371" s="776"/>
      <c r="C371" s="755"/>
      <c r="D371" s="755"/>
      <c r="E371" s="755"/>
      <c r="F371" s="755"/>
      <c r="G371" s="765"/>
      <c r="H371" s="781"/>
      <c r="I371" s="770"/>
      <c r="K371" s="760"/>
      <c r="L371" s="761"/>
    </row>
    <row r="372" spans="1:12" s="732" customFormat="1" ht="15">
      <c r="A372" s="753"/>
      <c r="B372" s="776" t="s">
        <v>394</v>
      </c>
      <c r="C372" s="755"/>
      <c r="D372" s="755"/>
      <c r="E372" s="755"/>
      <c r="F372" s="755"/>
      <c r="G372" s="765">
        <f>G317</f>
        <v>447137167</v>
      </c>
      <c r="H372" s="781"/>
      <c r="I372" s="770">
        <f>G329</f>
        <v>450736726</v>
      </c>
      <c r="J372" s="732" t="s">
        <v>919</v>
      </c>
      <c r="K372" s="760"/>
      <c r="L372" s="761"/>
    </row>
    <row r="373" spans="1:12" s="732" customFormat="1" ht="15">
      <c r="A373" s="753"/>
      <c r="B373" s="776" t="s">
        <v>395</v>
      </c>
      <c r="C373" s="755"/>
      <c r="D373" s="755"/>
      <c r="E373" s="755"/>
      <c r="F373" s="755"/>
      <c r="G373" s="765">
        <f>-G399</f>
        <v>62186900</v>
      </c>
      <c r="H373" s="781"/>
      <c r="I373" s="770">
        <v>54045626</v>
      </c>
      <c r="K373" s="760"/>
      <c r="L373" s="761"/>
    </row>
    <row r="374" spans="1:12" s="732" customFormat="1" ht="15">
      <c r="A374" s="753"/>
      <c r="B374" s="776" t="s">
        <v>281</v>
      </c>
      <c r="C374" s="755"/>
      <c r="D374" s="755"/>
      <c r="E374" s="755"/>
      <c r="F374" s="755"/>
      <c r="G374" s="765">
        <f>-G247</f>
        <v>6784867</v>
      </c>
      <c r="H374" s="781"/>
      <c r="I374" s="770">
        <v>6247554</v>
      </c>
      <c r="J374" s="754">
        <f>I376-I368</f>
        <v>0</v>
      </c>
      <c r="K374" s="760"/>
      <c r="L374" s="761"/>
    </row>
    <row r="375" spans="1:12" s="732" customFormat="1" ht="9.75" customHeight="1">
      <c r="A375" s="753"/>
      <c r="B375" s="776"/>
      <c r="C375" s="755"/>
      <c r="D375" s="755"/>
      <c r="E375" s="755"/>
      <c r="F375" s="755"/>
      <c r="G375" s="765"/>
      <c r="H375" s="781"/>
      <c r="I375" s="770"/>
      <c r="J375" s="754"/>
      <c r="K375" s="760"/>
      <c r="L375" s="761"/>
    </row>
    <row r="376" spans="1:12" s="732" customFormat="1" ht="15.75" thickBot="1">
      <c r="A376" s="753"/>
      <c r="B376" s="776"/>
      <c r="C376" s="755"/>
      <c r="D376" s="755"/>
      <c r="E376" s="755"/>
      <c r="F376" s="755"/>
      <c r="G376" s="771">
        <f>SUM(G372:G374)</f>
        <v>516108934</v>
      </c>
      <c r="H376" s="781"/>
      <c r="I376" s="773">
        <f>SUM(I372:I374)</f>
        <v>511029906</v>
      </c>
      <c r="J376" s="754"/>
      <c r="K376" s="760"/>
      <c r="L376" s="761"/>
    </row>
    <row r="377" spans="1:12" s="732" customFormat="1" ht="9" customHeight="1" thickTop="1">
      <c r="A377" s="803"/>
      <c r="B377" s="794"/>
      <c r="C377" s="794"/>
      <c r="D377" s="794"/>
      <c r="E377" s="794"/>
      <c r="F377" s="794"/>
      <c r="G377" s="794"/>
      <c r="H377" s="794"/>
      <c r="I377" s="1175"/>
      <c r="J377" s="754"/>
      <c r="K377" s="760"/>
      <c r="L377" s="761"/>
    </row>
    <row r="378" spans="1:12" s="732" customFormat="1" ht="9" customHeight="1">
      <c r="A378" s="803"/>
      <c r="B378" s="794"/>
      <c r="C378" s="794"/>
      <c r="D378" s="794"/>
      <c r="E378" s="794"/>
      <c r="F378" s="794"/>
      <c r="G378" s="794"/>
      <c r="H378" s="794"/>
      <c r="I378" s="1175"/>
      <c r="J378" s="754"/>
      <c r="K378" s="760"/>
      <c r="L378" s="761"/>
    </row>
    <row r="379" spans="1:12" s="732" customFormat="1" ht="9" customHeight="1">
      <c r="A379" s="803"/>
      <c r="B379" s="794"/>
      <c r="C379" s="794"/>
      <c r="D379" s="794"/>
      <c r="E379" s="794"/>
      <c r="F379" s="794"/>
      <c r="G379" s="794"/>
      <c r="H379" s="794"/>
      <c r="I379" s="1175"/>
      <c r="J379" s="754"/>
      <c r="K379" s="760"/>
      <c r="L379" s="761"/>
    </row>
    <row r="380" spans="1:12" s="732" customFormat="1" ht="9" customHeight="1">
      <c r="A380" s="803"/>
      <c r="B380" s="794"/>
      <c r="C380" s="794"/>
      <c r="D380" s="794"/>
      <c r="E380" s="794"/>
      <c r="F380" s="794"/>
      <c r="G380" s="794"/>
      <c r="H380" s="794"/>
      <c r="I380" s="1175"/>
      <c r="J380" s="754"/>
      <c r="K380" s="760"/>
      <c r="L380" s="761"/>
    </row>
    <row r="381" spans="1:12" s="732" customFormat="1" ht="9" customHeight="1">
      <c r="A381" s="803"/>
      <c r="B381" s="794"/>
      <c r="C381" s="794"/>
      <c r="D381" s="794"/>
      <c r="E381" s="794"/>
      <c r="F381" s="794"/>
      <c r="G381" s="794"/>
      <c r="H381" s="794"/>
      <c r="I381" s="1175"/>
      <c r="J381" s="754"/>
      <c r="K381" s="760"/>
      <c r="L381" s="761"/>
    </row>
    <row r="382" spans="1:12" s="732" customFormat="1" ht="9" customHeight="1">
      <c r="A382" s="803"/>
      <c r="B382" s="794"/>
      <c r="C382" s="794"/>
      <c r="D382" s="794"/>
      <c r="E382" s="794"/>
      <c r="F382" s="794"/>
      <c r="G382" s="794"/>
      <c r="H382" s="794"/>
      <c r="I382" s="1175"/>
      <c r="J382" s="754"/>
      <c r="K382" s="760"/>
      <c r="L382" s="761"/>
    </row>
    <row r="383" spans="1:12" s="821" customFormat="1" ht="15">
      <c r="A383" s="1270" t="s">
        <v>1541</v>
      </c>
      <c r="B383" s="1270"/>
      <c r="C383" s="1270"/>
      <c r="D383" s="1270"/>
      <c r="E383" s="1270"/>
      <c r="F383" s="1270"/>
      <c r="G383" s="1270"/>
      <c r="H383" s="1270"/>
      <c r="I383" s="1270"/>
      <c r="K383" s="822"/>
      <c r="L383" s="823"/>
    </row>
    <row r="384" spans="1:12" s="821" customFormat="1" ht="15">
      <c r="A384" s="818"/>
      <c r="B384" s="818"/>
      <c r="C384" s="818"/>
      <c r="D384" s="818"/>
      <c r="E384" s="818"/>
      <c r="F384" s="818"/>
      <c r="G384" s="818"/>
      <c r="H384" s="818"/>
      <c r="I384" s="818"/>
      <c r="K384" s="822"/>
      <c r="L384" s="823"/>
    </row>
    <row r="385" spans="1:12" s="732" customFormat="1" ht="15">
      <c r="A385" s="753">
        <v>14</v>
      </c>
      <c r="B385" s="795" t="s">
        <v>1359</v>
      </c>
      <c r="C385" s="754"/>
      <c r="D385" s="754"/>
      <c r="E385" s="755"/>
      <c r="F385" s="754"/>
      <c r="G385" s="756"/>
      <c r="H385" s="757"/>
      <c r="I385" s="836"/>
      <c r="J385" s="732" t="s">
        <v>464</v>
      </c>
      <c r="K385" s="760"/>
      <c r="L385" s="761"/>
    </row>
    <row r="386" spans="1:12" s="732" customFormat="1" ht="9" customHeight="1">
      <c r="A386" s="753"/>
      <c r="B386" s="795"/>
      <c r="C386" s="754"/>
      <c r="D386" s="754"/>
      <c r="E386" s="755"/>
      <c r="F386" s="754"/>
      <c r="G386" s="756"/>
      <c r="H386" s="757"/>
      <c r="I386" s="836"/>
      <c r="K386" s="760"/>
      <c r="L386" s="761"/>
    </row>
    <row r="387" spans="1:12" s="732" customFormat="1" ht="15">
      <c r="A387" s="753"/>
      <c r="B387" s="1273" t="s">
        <v>282</v>
      </c>
      <c r="C387" s="1276"/>
      <c r="D387" s="754"/>
      <c r="E387" s="755" t="s">
        <v>1587</v>
      </c>
      <c r="F387" s="754"/>
      <c r="G387" s="836">
        <v>0</v>
      </c>
      <c r="I387" s="836">
        <v>268662</v>
      </c>
      <c r="J387" s="732" t="s">
        <v>505</v>
      </c>
      <c r="K387" s="760"/>
      <c r="L387" s="836">
        <v>69843</v>
      </c>
    </row>
    <row r="388" spans="1:12" s="732" customFormat="1" ht="15">
      <c r="A388" s="753"/>
      <c r="B388" s="1273" t="s">
        <v>160</v>
      </c>
      <c r="C388" s="1276"/>
      <c r="D388" s="1276"/>
      <c r="E388" s="1276"/>
      <c r="F388" s="754"/>
      <c r="G388" s="836">
        <v>19842333</v>
      </c>
      <c r="I388" s="836">
        <f>6711136</f>
        <v>6711136</v>
      </c>
      <c r="J388" s="732" t="s">
        <v>523</v>
      </c>
      <c r="K388" s="760"/>
      <c r="L388" s="836">
        <v>12914905</v>
      </c>
    </row>
    <row r="389" spans="1:12" s="732" customFormat="1" ht="15">
      <c r="A389" s="753"/>
      <c r="B389" s="776" t="s">
        <v>1364</v>
      </c>
      <c r="C389" s="754"/>
      <c r="D389" s="754"/>
      <c r="E389" s="755"/>
      <c r="F389" s="754"/>
      <c r="G389" s="836">
        <f>39138203-G396-G388</f>
        <v>18700794</v>
      </c>
      <c r="I389" s="754">
        <f>24186658.98-I388-I390-I395</f>
        <v>15371431</v>
      </c>
      <c r="J389" s="732" t="s">
        <v>637</v>
      </c>
      <c r="K389" s="760"/>
      <c r="L389" s="754">
        <f>12160903-3070223</f>
        <v>9090680</v>
      </c>
    </row>
    <row r="390" spans="1:12" s="732" customFormat="1" ht="15">
      <c r="A390" s="753"/>
      <c r="B390" s="776" t="s">
        <v>1060</v>
      </c>
      <c r="C390" s="754"/>
      <c r="D390" s="754"/>
      <c r="E390" s="755"/>
      <c r="F390" s="754"/>
      <c r="G390" s="836">
        <f>92597+208515-1</f>
        <v>301111</v>
      </c>
      <c r="I390" s="754">
        <v>756361</v>
      </c>
      <c r="J390" s="732" t="s">
        <v>636</v>
      </c>
      <c r="K390" s="760"/>
      <c r="L390" s="754">
        <v>833344</v>
      </c>
    </row>
    <row r="391" spans="1:12" s="732" customFormat="1" ht="15">
      <c r="A391" s="753"/>
      <c r="B391" s="776" t="s">
        <v>1362</v>
      </c>
      <c r="C391" s="754"/>
      <c r="D391" s="754"/>
      <c r="E391" s="842"/>
      <c r="F391" s="754"/>
      <c r="G391" s="1102">
        <v>78361</v>
      </c>
      <c r="I391" s="836">
        <v>0</v>
      </c>
      <c r="J391" s="732" t="s">
        <v>519</v>
      </c>
      <c r="K391" s="760"/>
      <c r="L391" s="836">
        <v>0</v>
      </c>
    </row>
    <row r="392" spans="1:12" s="732" customFormat="1" ht="15">
      <c r="A392" s="753"/>
      <c r="B392" s="776" t="s">
        <v>974</v>
      </c>
      <c r="C392" s="754"/>
      <c r="D392" s="754"/>
      <c r="E392" s="755"/>
      <c r="F392" s="754"/>
      <c r="G392" s="836">
        <v>22741894</v>
      </c>
      <c r="I392" s="836">
        <v>23046314</v>
      </c>
      <c r="J392" s="732" t="s">
        <v>513</v>
      </c>
      <c r="K392" s="760" t="s">
        <v>905</v>
      </c>
      <c r="L392" s="836">
        <v>23046314</v>
      </c>
    </row>
    <row r="393" spans="1:12" s="732" customFormat="1" ht="15">
      <c r="A393" s="753"/>
      <c r="B393" s="776" t="s">
        <v>1298</v>
      </c>
      <c r="C393" s="754"/>
      <c r="D393" s="754"/>
      <c r="E393" s="755"/>
      <c r="F393" s="754"/>
      <c r="G393" s="836">
        <v>13008495</v>
      </c>
      <c r="I393" s="836">
        <v>13482511</v>
      </c>
      <c r="J393" s="732" t="s">
        <v>514</v>
      </c>
      <c r="K393" s="760">
        <v>13223613</v>
      </c>
      <c r="L393" s="836">
        <v>13482511</v>
      </c>
    </row>
    <row r="394" spans="1:12" s="732" customFormat="1" ht="15">
      <c r="A394" s="753"/>
      <c r="B394" s="776" t="s">
        <v>1300</v>
      </c>
      <c r="C394" s="754"/>
      <c r="D394" s="754"/>
      <c r="E394" s="755"/>
      <c r="F394" s="754"/>
      <c r="G394" s="836">
        <v>832170</v>
      </c>
      <c r="I394" s="836">
        <v>824226</v>
      </c>
      <c r="J394" s="732" t="s">
        <v>515</v>
      </c>
      <c r="K394" s="760">
        <v>776801</v>
      </c>
      <c r="L394" s="836">
        <v>824226</v>
      </c>
    </row>
    <row r="395" spans="1:12" s="732" customFormat="1" ht="15">
      <c r="A395" s="731"/>
      <c r="B395" s="776" t="s">
        <v>831</v>
      </c>
      <c r="G395" s="1102">
        <v>123284</v>
      </c>
      <c r="I395" s="836">
        <v>1347731</v>
      </c>
      <c r="J395" s="732" t="s">
        <v>445</v>
      </c>
      <c r="K395" s="760">
        <f>SUM(K393:K394)</f>
        <v>14000414</v>
      </c>
      <c r="L395" s="836">
        <v>1347731</v>
      </c>
    </row>
    <row r="396" spans="1:12" s="732" customFormat="1" ht="15">
      <c r="A396" s="731"/>
      <c r="B396" s="776" t="s">
        <v>76</v>
      </c>
      <c r="G396" s="1102">
        <f>595076</f>
        <v>595076</v>
      </c>
      <c r="I396" s="757">
        <v>0</v>
      </c>
      <c r="K396" s="760"/>
      <c r="L396" s="757">
        <v>0</v>
      </c>
    </row>
    <row r="397" spans="1:12" s="732" customFormat="1" ht="15">
      <c r="A397" s="731"/>
      <c r="B397" s="776" t="s">
        <v>647</v>
      </c>
      <c r="G397" s="1102">
        <v>6039484</v>
      </c>
      <c r="I397" s="836">
        <v>937002</v>
      </c>
      <c r="K397" s="760"/>
      <c r="L397" s="836">
        <v>937002</v>
      </c>
    </row>
    <row r="398" spans="1:12" s="732" customFormat="1" ht="15">
      <c r="A398" s="753"/>
      <c r="B398" s="1273" t="s">
        <v>282</v>
      </c>
      <c r="C398" s="1276"/>
      <c r="D398" s="754"/>
      <c r="E398" s="755"/>
      <c r="F398" s="754"/>
      <c r="G398" s="836">
        <v>726496</v>
      </c>
      <c r="I398" s="836">
        <v>6935982</v>
      </c>
      <c r="J398" s="732" t="s">
        <v>518</v>
      </c>
      <c r="K398" s="760"/>
      <c r="L398" s="836">
        <v>6935982</v>
      </c>
    </row>
    <row r="399" spans="1:12" s="732" customFormat="1" ht="15">
      <c r="A399" s="753"/>
      <c r="B399" s="776" t="s">
        <v>283</v>
      </c>
      <c r="C399" s="754"/>
      <c r="D399" s="754"/>
      <c r="E399" s="755"/>
      <c r="F399" s="754"/>
      <c r="G399" s="836">
        <v>-62186900</v>
      </c>
      <c r="I399" s="836">
        <v>-54045626</v>
      </c>
      <c r="J399" s="732" t="s">
        <v>638</v>
      </c>
      <c r="K399" s="760" t="s">
        <v>1587</v>
      </c>
      <c r="L399" s="836">
        <v>-54045626</v>
      </c>
    </row>
    <row r="400" spans="1:12" s="732" customFormat="1" ht="9" customHeight="1">
      <c r="A400" s="753"/>
      <c r="B400" s="776"/>
      <c r="C400" s="754"/>
      <c r="D400" s="754"/>
      <c r="E400" s="755"/>
      <c r="F400" s="754"/>
      <c r="G400" s="836"/>
      <c r="I400" s="836"/>
      <c r="K400" s="760"/>
      <c r="L400" s="757"/>
    </row>
    <row r="401" spans="1:12" s="732" customFormat="1" ht="15.75" thickBot="1">
      <c r="A401" s="753"/>
      <c r="B401" s="795"/>
      <c r="C401" s="755"/>
      <c r="D401" s="755"/>
      <c r="E401" s="755"/>
      <c r="F401" s="755"/>
      <c r="G401" s="773">
        <f>SUM(G387:G399)</f>
        <v>20802598</v>
      </c>
      <c r="I401" s="773">
        <f>SUM(I387:I400)</f>
        <v>15635730</v>
      </c>
      <c r="K401" s="760">
        <v>2743961.91</v>
      </c>
      <c r="L401" s="781">
        <f>SUM(L387:L400)</f>
        <v>15436912</v>
      </c>
    </row>
    <row r="402" ht="9" customHeight="1" thickTop="1">
      <c r="K402" s="725">
        <v>2312883.66</v>
      </c>
    </row>
    <row r="403" spans="1:12" s="732" customFormat="1" ht="15">
      <c r="A403" s="753">
        <v>15</v>
      </c>
      <c r="B403" s="795" t="s">
        <v>1487</v>
      </c>
      <c r="C403" s="754"/>
      <c r="D403" s="754"/>
      <c r="E403" s="755"/>
      <c r="F403" s="754"/>
      <c r="G403" s="756"/>
      <c r="H403" s="757"/>
      <c r="J403" s="732" t="s">
        <v>465</v>
      </c>
      <c r="K403" s="754">
        <f>L401-I401</f>
        <v>-198818</v>
      </c>
      <c r="L403" s="761"/>
    </row>
    <row r="404" spans="1:12" s="732" customFormat="1" ht="9" customHeight="1">
      <c r="A404" s="753"/>
      <c r="B404" s="795"/>
      <c r="C404" s="754"/>
      <c r="D404" s="754"/>
      <c r="E404" s="755"/>
      <c r="F404" s="754"/>
      <c r="G404" s="756"/>
      <c r="H404" s="757"/>
      <c r="I404" s="754"/>
      <c r="K404" s="760" t="s">
        <v>1587</v>
      </c>
      <c r="L404" s="761"/>
    </row>
    <row r="405" spans="1:12" s="732" customFormat="1" ht="15">
      <c r="A405" s="753"/>
      <c r="B405" s="1278" t="s">
        <v>1368</v>
      </c>
      <c r="C405" s="1278"/>
      <c r="D405" s="1278"/>
      <c r="E405" s="1278"/>
      <c r="F405" s="755"/>
      <c r="G405" s="756"/>
      <c r="H405" s="757"/>
      <c r="I405" s="754"/>
      <c r="K405" s="760" t="s">
        <v>1587</v>
      </c>
      <c r="L405" s="761"/>
    </row>
    <row r="406" spans="1:12" s="732" customFormat="1" ht="9" customHeight="1">
      <c r="A406" s="753"/>
      <c r="B406" s="795"/>
      <c r="C406" s="754"/>
      <c r="D406" s="754"/>
      <c r="E406" s="755"/>
      <c r="F406" s="754"/>
      <c r="G406" s="756"/>
      <c r="H406" s="757"/>
      <c r="I406" s="754"/>
      <c r="K406" s="760"/>
      <c r="L406" s="761"/>
    </row>
    <row r="407" spans="1:12" s="732" customFormat="1" ht="15">
      <c r="A407" s="753"/>
      <c r="B407" s="1278" t="s">
        <v>284</v>
      </c>
      <c r="C407" s="1278"/>
      <c r="D407" s="1278"/>
      <c r="E407" s="1278"/>
      <c r="F407" s="1278"/>
      <c r="G407" s="1278"/>
      <c r="H407" s="781" t="s">
        <v>1587</v>
      </c>
      <c r="I407" s="754" t="s">
        <v>1587</v>
      </c>
      <c r="K407" s="760"/>
      <c r="L407" s="761"/>
    </row>
    <row r="408" spans="1:12" s="732" customFormat="1" ht="8.25" customHeight="1">
      <c r="A408" s="753"/>
      <c r="B408" s="795"/>
      <c r="C408" s="795"/>
      <c r="D408" s="795"/>
      <c r="E408" s="795"/>
      <c r="F408" s="795"/>
      <c r="G408" s="795"/>
      <c r="H408" s="781"/>
      <c r="I408" s="754"/>
      <c r="K408" s="760"/>
      <c r="L408" s="761"/>
    </row>
    <row r="409" spans="1:12" s="732" customFormat="1" ht="15">
      <c r="A409" s="753"/>
      <c r="B409" s="795" t="s">
        <v>418</v>
      </c>
      <c r="C409" s="795"/>
      <c r="D409" s="795"/>
      <c r="E409" s="795"/>
      <c r="F409" s="795"/>
      <c r="G409" s="796"/>
      <c r="H409" s="781"/>
      <c r="I409" s="754"/>
      <c r="K409" s="760"/>
      <c r="L409" s="761"/>
    </row>
    <row r="410" spans="1:12" s="732" customFormat="1" ht="9" customHeight="1">
      <c r="A410" s="753"/>
      <c r="B410" s="795"/>
      <c r="C410" s="795"/>
      <c r="D410" s="795"/>
      <c r="E410" s="795"/>
      <c r="F410" s="795"/>
      <c r="G410" s="796"/>
      <c r="H410" s="781"/>
      <c r="I410" s="754"/>
      <c r="K410" s="760"/>
      <c r="L410" s="761"/>
    </row>
    <row r="411" spans="1:12" s="732" customFormat="1" ht="15">
      <c r="A411" s="753"/>
      <c r="B411" s="776" t="s">
        <v>1101</v>
      </c>
      <c r="C411" s="795"/>
      <c r="D411" s="795"/>
      <c r="E411" s="795"/>
      <c r="F411" s="795"/>
      <c r="G411" s="756">
        <f>I412</f>
        <v>-507347</v>
      </c>
      <c r="H411" s="757"/>
      <c r="I411" s="758">
        <v>-3103223</v>
      </c>
      <c r="K411" s="760"/>
      <c r="L411" s="761"/>
    </row>
    <row r="412" spans="1:12" s="732" customFormat="1" ht="15.75" thickBot="1">
      <c r="A412" s="753"/>
      <c r="B412" s="776" t="s">
        <v>1102</v>
      </c>
      <c r="C412" s="795"/>
      <c r="D412" s="795"/>
      <c r="E412" s="795"/>
      <c r="F412" s="795"/>
      <c r="G412" s="843">
        <v>191782</v>
      </c>
      <c r="H412" s="757"/>
      <c r="I412" s="844">
        <v>-507347</v>
      </c>
      <c r="J412" s="732" t="s">
        <v>446</v>
      </c>
      <c r="K412" s="760"/>
      <c r="L412" s="761"/>
    </row>
    <row r="413" spans="1:12" s="732" customFormat="1" ht="9" customHeight="1" thickTop="1">
      <c r="A413" s="753"/>
      <c r="B413" s="776"/>
      <c r="C413" s="795"/>
      <c r="D413" s="795"/>
      <c r="E413" s="795"/>
      <c r="F413" s="795"/>
      <c r="G413" s="756"/>
      <c r="H413" s="757"/>
      <c r="I413" s="758"/>
      <c r="K413" s="760"/>
      <c r="L413" s="761"/>
    </row>
    <row r="414" spans="1:12" s="732" customFormat="1" ht="15">
      <c r="A414" s="753"/>
      <c r="B414" s="776" t="s">
        <v>196</v>
      </c>
      <c r="C414" s="795"/>
      <c r="D414" s="795"/>
      <c r="E414" s="795"/>
      <c r="F414" s="795"/>
      <c r="G414" s="756">
        <v>100000</v>
      </c>
      <c r="H414" s="757"/>
      <c r="I414" s="758">
        <v>100000</v>
      </c>
      <c r="K414" s="760"/>
      <c r="L414" s="761"/>
    </row>
    <row r="415" spans="1:12" s="732" customFormat="1" ht="15.75" thickBot="1">
      <c r="A415" s="753"/>
      <c r="B415" s="776" t="s">
        <v>197</v>
      </c>
      <c r="C415" s="795"/>
      <c r="D415" s="795"/>
      <c r="E415" s="795"/>
      <c r="F415" s="795"/>
      <c r="G415" s="843">
        <v>100000</v>
      </c>
      <c r="H415" s="757"/>
      <c r="I415" s="844">
        <v>100000</v>
      </c>
      <c r="K415" s="760"/>
      <c r="L415" s="761"/>
    </row>
    <row r="416" spans="1:12" s="732" customFormat="1" ht="9" customHeight="1" thickTop="1">
      <c r="A416" s="753"/>
      <c r="B416" s="795"/>
      <c r="C416" s="795"/>
      <c r="D416" s="795"/>
      <c r="E416" s="795"/>
      <c r="F416" s="795"/>
      <c r="G416" s="756"/>
      <c r="H416" s="757"/>
      <c r="I416" s="758"/>
      <c r="K416" s="760"/>
      <c r="L416" s="761"/>
    </row>
    <row r="417" spans="1:12" s="732" customFormat="1" ht="15">
      <c r="A417" s="753"/>
      <c r="B417" s="1278" t="s">
        <v>286</v>
      </c>
      <c r="C417" s="1278"/>
      <c r="D417" s="1278"/>
      <c r="E417" s="1278"/>
      <c r="F417" s="1278"/>
      <c r="G417" s="1278"/>
      <c r="H417" s="757"/>
      <c r="I417" s="758" t="s">
        <v>1587</v>
      </c>
      <c r="K417" s="760"/>
      <c r="L417" s="761"/>
    </row>
    <row r="418" spans="1:12" s="732" customFormat="1" ht="9" customHeight="1">
      <c r="A418" s="753"/>
      <c r="B418" s="795"/>
      <c r="C418" s="795"/>
      <c r="D418" s="795"/>
      <c r="E418" s="795"/>
      <c r="F418" s="795"/>
      <c r="G418" s="756"/>
      <c r="H418" s="757"/>
      <c r="I418" s="758"/>
      <c r="K418" s="760">
        <v>2021112</v>
      </c>
      <c r="L418" s="761"/>
    </row>
    <row r="419" spans="1:12" s="732" customFormat="1" ht="15">
      <c r="A419" s="753"/>
      <c r="B419" s="795" t="s">
        <v>417</v>
      </c>
      <c r="C419" s="795"/>
      <c r="D419" s="795"/>
      <c r="E419" s="795"/>
      <c r="F419" s="795"/>
      <c r="G419" s="756"/>
      <c r="H419" s="757"/>
      <c r="I419" s="758"/>
      <c r="K419" s="760">
        <v>-1887400</v>
      </c>
      <c r="L419" s="761"/>
    </row>
    <row r="420" spans="1:12" s="732" customFormat="1" ht="9" customHeight="1">
      <c r="A420" s="1271"/>
      <c r="B420" s="1271"/>
      <c r="C420" s="1271"/>
      <c r="D420" s="1271"/>
      <c r="E420" s="1271"/>
      <c r="F420" s="1271"/>
      <c r="G420" s="1271"/>
      <c r="H420" s="1271"/>
      <c r="I420" s="1271"/>
      <c r="J420" s="754"/>
      <c r="K420" s="760"/>
      <c r="L420" s="761"/>
    </row>
    <row r="421" spans="1:12" s="732" customFormat="1" ht="15">
      <c r="A421" s="753"/>
      <c r="B421" s="776" t="s">
        <v>1101</v>
      </c>
      <c r="C421" s="795"/>
      <c r="D421" s="795"/>
      <c r="E421" s="795"/>
      <c r="F421" s="795"/>
      <c r="G421" s="756">
        <f>I422</f>
        <v>-2021112</v>
      </c>
      <c r="H421" s="757"/>
      <c r="I421" s="758">
        <v>-1162423</v>
      </c>
      <c r="K421" s="760"/>
      <c r="L421" s="761"/>
    </row>
    <row r="422" spans="1:12" s="732" customFormat="1" ht="15.75" thickBot="1">
      <c r="A422" s="753"/>
      <c r="B422" s="776" t="s">
        <v>1102</v>
      </c>
      <c r="C422" s="795"/>
      <c r="D422" s="795"/>
      <c r="E422" s="795"/>
      <c r="F422" s="795"/>
      <c r="G422" s="843">
        <v>-7074033</v>
      </c>
      <c r="H422" s="757"/>
      <c r="I422" s="844">
        <v>-2021112</v>
      </c>
      <c r="J422" s="732" t="s">
        <v>447</v>
      </c>
      <c r="K422" s="760"/>
      <c r="L422" s="761"/>
    </row>
    <row r="423" spans="1:12" s="732" customFormat="1" ht="9" customHeight="1" thickTop="1">
      <c r="A423" s="753"/>
      <c r="B423" s="776"/>
      <c r="C423" s="795"/>
      <c r="D423" s="795"/>
      <c r="E423" s="795"/>
      <c r="F423" s="795"/>
      <c r="G423" s="756"/>
      <c r="H423" s="757"/>
      <c r="I423" s="758"/>
      <c r="K423" s="760"/>
      <c r="L423" s="761"/>
    </row>
    <row r="424" spans="1:12" s="732" customFormat="1" ht="15">
      <c r="A424" s="753"/>
      <c r="B424" s="776" t="s">
        <v>196</v>
      </c>
      <c r="C424" s="795"/>
      <c r="D424" s="795"/>
      <c r="E424" s="795"/>
      <c r="F424" s="795"/>
      <c r="G424" s="756">
        <f>I425</f>
        <v>100000</v>
      </c>
      <c r="H424" s="757"/>
      <c r="I424" s="758">
        <v>100300</v>
      </c>
      <c r="K424" s="760"/>
      <c r="L424" s="761"/>
    </row>
    <row r="425" spans="1:12" s="732" customFormat="1" ht="15.75" thickBot="1">
      <c r="A425" s="753"/>
      <c r="B425" s="776" t="s">
        <v>197</v>
      </c>
      <c r="C425" s="795"/>
      <c r="D425" s="795"/>
      <c r="E425" s="795"/>
      <c r="F425" s="795"/>
      <c r="G425" s="843">
        <v>100000</v>
      </c>
      <c r="H425" s="757"/>
      <c r="I425" s="844">
        <v>100000</v>
      </c>
      <c r="K425" s="760"/>
      <c r="L425" s="761"/>
    </row>
    <row r="426" spans="1:12" s="732" customFormat="1" ht="9" customHeight="1" thickTop="1">
      <c r="A426" s="753"/>
      <c r="B426" s="795"/>
      <c r="C426" s="795"/>
      <c r="D426" s="795"/>
      <c r="E426" s="795"/>
      <c r="F426" s="795"/>
      <c r="G426" s="756"/>
      <c r="H426" s="757"/>
      <c r="I426" s="754"/>
      <c r="K426" s="760"/>
      <c r="L426" s="761"/>
    </row>
    <row r="427" spans="1:12" s="732" customFormat="1" ht="15">
      <c r="A427" s="753"/>
      <c r="B427" s="1278" t="s">
        <v>287</v>
      </c>
      <c r="C427" s="1278"/>
      <c r="D427" s="1278"/>
      <c r="E427" s="1278"/>
      <c r="F427" s="1278"/>
      <c r="G427" s="1278"/>
      <c r="H427" s="757" t="s">
        <v>1587</v>
      </c>
      <c r="I427" s="754" t="s">
        <v>1587</v>
      </c>
      <c r="K427" s="760"/>
      <c r="L427" s="761"/>
    </row>
    <row r="428" spans="1:12" s="732" customFormat="1" ht="9" customHeight="1">
      <c r="A428" s="753"/>
      <c r="B428" s="795"/>
      <c r="C428" s="795"/>
      <c r="D428" s="795"/>
      <c r="E428" s="795"/>
      <c r="F428" s="795"/>
      <c r="G428" s="756"/>
      <c r="H428" s="757"/>
      <c r="I428" s="754"/>
      <c r="K428" s="760"/>
      <c r="L428" s="761"/>
    </row>
    <row r="429" spans="1:12" s="732" customFormat="1" ht="15">
      <c r="A429" s="753"/>
      <c r="B429" s="795" t="s">
        <v>413</v>
      </c>
      <c r="C429" s="795"/>
      <c r="D429" s="795"/>
      <c r="E429" s="795"/>
      <c r="F429" s="795"/>
      <c r="G429" s="756"/>
      <c r="H429" s="757"/>
      <c r="I429" s="754"/>
      <c r="K429" s="760"/>
      <c r="L429" s="761"/>
    </row>
    <row r="430" spans="1:12" s="732" customFormat="1" ht="9" customHeight="1">
      <c r="A430" s="753"/>
      <c r="B430" s="795"/>
      <c r="C430" s="795"/>
      <c r="D430" s="795"/>
      <c r="E430" s="795"/>
      <c r="F430" s="795"/>
      <c r="G430" s="756"/>
      <c r="H430" s="757"/>
      <c r="I430" s="754"/>
      <c r="K430" s="760"/>
      <c r="L430" s="761"/>
    </row>
    <row r="431" spans="1:12" s="732" customFormat="1" ht="15">
      <c r="A431" s="753"/>
      <c r="B431" s="776" t="s">
        <v>1101</v>
      </c>
      <c r="C431" s="795"/>
      <c r="D431" s="795"/>
      <c r="E431" s="795"/>
      <c r="F431" s="795"/>
      <c r="G431" s="756">
        <f>I436</f>
        <v>5290749</v>
      </c>
      <c r="H431" s="757"/>
      <c r="I431" s="764">
        <v>7053621</v>
      </c>
      <c r="K431" s="760"/>
      <c r="L431" s="761"/>
    </row>
    <row r="432" spans="1:12" s="732" customFormat="1" ht="9" customHeight="1">
      <c r="A432" s="753"/>
      <c r="B432" s="776"/>
      <c r="C432" s="795"/>
      <c r="D432" s="795"/>
      <c r="E432" s="795"/>
      <c r="F432" s="795"/>
      <c r="G432" s="756"/>
      <c r="H432" s="757"/>
      <c r="I432" s="764"/>
      <c r="K432" s="760"/>
      <c r="L432" s="761"/>
    </row>
    <row r="433" spans="1:12" s="732" customFormat="1" ht="15">
      <c r="A433" s="753"/>
      <c r="B433" s="776" t="s">
        <v>1102</v>
      </c>
      <c r="C433" s="795"/>
      <c r="D433" s="795"/>
      <c r="E433" s="795"/>
      <c r="F433" s="795"/>
      <c r="G433" s="766">
        <v>10554514</v>
      </c>
      <c r="H433" s="757"/>
      <c r="I433" s="767">
        <v>-252774</v>
      </c>
      <c r="J433" s="732" t="s">
        <v>448</v>
      </c>
      <c r="K433" s="760">
        <v>-2045262</v>
      </c>
      <c r="L433" s="761"/>
    </row>
    <row r="434" spans="1:12" s="732" customFormat="1" ht="15">
      <c r="A434" s="753"/>
      <c r="B434" s="776" t="s">
        <v>285</v>
      </c>
      <c r="C434" s="795"/>
      <c r="D434" s="795"/>
      <c r="E434" s="795"/>
      <c r="F434" s="795"/>
      <c r="G434" s="768">
        <v>12141903</v>
      </c>
      <c r="H434" s="757"/>
      <c r="I434" s="769">
        <v>5543523</v>
      </c>
      <c r="K434" s="760">
        <v>5543523</v>
      </c>
      <c r="L434" s="761"/>
    </row>
    <row r="435" spans="1:12" s="732" customFormat="1" ht="9" customHeight="1">
      <c r="A435" s="753"/>
      <c r="B435" s="776"/>
      <c r="C435" s="795"/>
      <c r="D435" s="795"/>
      <c r="E435" s="795"/>
      <c r="F435" s="795"/>
      <c r="G435" s="765"/>
      <c r="H435" s="757"/>
      <c r="I435" s="764"/>
      <c r="K435" s="760"/>
      <c r="L435" s="761"/>
    </row>
    <row r="436" spans="1:12" s="732" customFormat="1" ht="15.75" thickBot="1">
      <c r="A436" s="731"/>
      <c r="B436" s="776" t="s">
        <v>975</v>
      </c>
      <c r="E436" s="748"/>
      <c r="G436" s="843">
        <f>SUM(G433:G434)</f>
        <v>22696417</v>
      </c>
      <c r="H436" s="743"/>
      <c r="I436" s="844">
        <f>SUM(I433:I434)</f>
        <v>5290749</v>
      </c>
      <c r="K436" s="760"/>
      <c r="L436" s="761"/>
    </row>
    <row r="437" spans="1:12" s="732" customFormat="1" ht="9" customHeight="1" thickTop="1">
      <c r="A437" s="753"/>
      <c r="B437" s="776"/>
      <c r="C437" s="795"/>
      <c r="D437" s="795"/>
      <c r="E437" s="795"/>
      <c r="F437" s="795"/>
      <c r="G437" s="765"/>
      <c r="H437" s="757"/>
      <c r="I437" s="764"/>
      <c r="K437" s="760"/>
      <c r="L437" s="761"/>
    </row>
    <row r="438" spans="1:12" s="732" customFormat="1" ht="15">
      <c r="A438" s="753"/>
      <c r="B438" s="776" t="s">
        <v>196</v>
      </c>
      <c r="C438" s="795"/>
      <c r="D438" s="795"/>
      <c r="E438" s="795"/>
      <c r="F438" s="795"/>
      <c r="G438" s="756">
        <f>I439</f>
        <v>5728529</v>
      </c>
      <c r="H438" s="757"/>
      <c r="I438" s="758">
        <v>12756632</v>
      </c>
      <c r="K438" s="760"/>
      <c r="L438" s="761"/>
    </row>
    <row r="439" spans="1:12" s="732" customFormat="1" ht="15.75" thickBot="1">
      <c r="A439" s="753"/>
      <c r="B439" s="776" t="s">
        <v>197</v>
      </c>
      <c r="C439" s="795"/>
      <c r="D439" s="795"/>
      <c r="E439" s="795"/>
      <c r="F439" s="795"/>
      <c r="G439" s="843">
        <v>23336795</v>
      </c>
      <c r="H439" s="757"/>
      <c r="I439" s="844">
        <v>5728529</v>
      </c>
      <c r="K439" s="760"/>
      <c r="L439" s="761"/>
    </row>
    <row r="440" spans="1:12" s="732" customFormat="1" ht="9" customHeight="1" thickTop="1">
      <c r="A440" s="753"/>
      <c r="B440" s="795"/>
      <c r="C440" s="795"/>
      <c r="D440" s="795"/>
      <c r="E440" s="795"/>
      <c r="F440" s="795"/>
      <c r="G440" s="756"/>
      <c r="H440" s="757"/>
      <c r="I440" s="754"/>
      <c r="K440" s="760"/>
      <c r="L440" s="761"/>
    </row>
    <row r="441" spans="1:12" s="732" customFormat="1" ht="15">
      <c r="A441" s="753"/>
      <c r="B441" s="1278" t="s">
        <v>288</v>
      </c>
      <c r="C441" s="1278"/>
      <c r="D441" s="1278"/>
      <c r="E441" s="1278"/>
      <c r="F441" s="1278"/>
      <c r="G441" s="1278"/>
      <c r="H441" s="757"/>
      <c r="I441" s="754" t="s">
        <v>1587</v>
      </c>
      <c r="K441" s="760"/>
      <c r="L441" s="761"/>
    </row>
    <row r="442" spans="1:12" s="732" customFormat="1" ht="9" customHeight="1">
      <c r="A442" s="753"/>
      <c r="B442" s="795"/>
      <c r="C442" s="795"/>
      <c r="D442" s="795"/>
      <c r="E442" s="795"/>
      <c r="F442" s="795"/>
      <c r="G442" s="756"/>
      <c r="H442" s="757"/>
      <c r="I442" s="754"/>
      <c r="K442" s="760"/>
      <c r="L442" s="761"/>
    </row>
    <row r="443" spans="1:12" s="732" customFormat="1" ht="15">
      <c r="A443" s="753"/>
      <c r="B443" s="795" t="s">
        <v>416</v>
      </c>
      <c r="C443" s="795"/>
      <c r="D443" s="795"/>
      <c r="E443" s="795"/>
      <c r="F443" s="795"/>
      <c r="G443" s="756"/>
      <c r="H443" s="757"/>
      <c r="I443" s="754"/>
      <c r="K443" s="760"/>
      <c r="L443" s="761"/>
    </row>
    <row r="444" spans="1:12" s="732" customFormat="1" ht="9" customHeight="1">
      <c r="A444" s="753"/>
      <c r="B444" s="795"/>
      <c r="C444" s="795"/>
      <c r="D444" s="795"/>
      <c r="E444" s="795"/>
      <c r="F444" s="795"/>
      <c r="G444" s="756"/>
      <c r="H444" s="757"/>
      <c r="I444" s="754"/>
      <c r="K444" s="760">
        <v>4875381</v>
      </c>
      <c r="L444" s="761"/>
    </row>
    <row r="445" spans="1:12" s="732" customFormat="1" ht="15">
      <c r="A445" s="753"/>
      <c r="B445" s="776" t="s">
        <v>1101</v>
      </c>
      <c r="C445" s="795"/>
      <c r="D445" s="795"/>
      <c r="E445" s="795"/>
      <c r="F445" s="795"/>
      <c r="G445" s="756">
        <f>I446</f>
        <v>50000</v>
      </c>
      <c r="H445" s="757"/>
      <c r="I445" s="758">
        <v>50000</v>
      </c>
      <c r="K445" s="760">
        <v>-6749765</v>
      </c>
      <c r="L445" s="761"/>
    </row>
    <row r="446" spans="1:12" s="732" customFormat="1" ht="15.75" thickBot="1">
      <c r="A446" s="753"/>
      <c r="B446" s="776" t="s">
        <v>1102</v>
      </c>
      <c r="C446" s="795"/>
      <c r="D446" s="795"/>
      <c r="E446" s="795"/>
      <c r="F446" s="795"/>
      <c r="G446" s="843">
        <v>-355321</v>
      </c>
      <c r="H446" s="757"/>
      <c r="I446" s="844">
        <v>50000</v>
      </c>
      <c r="J446" s="732" t="s">
        <v>449</v>
      </c>
      <c r="K446" s="760"/>
      <c r="L446" s="761"/>
    </row>
    <row r="447" spans="1:12" s="732" customFormat="1" ht="15.75" thickTop="1">
      <c r="A447" s="753"/>
      <c r="B447" s="776"/>
      <c r="C447" s="795"/>
      <c r="D447" s="795"/>
      <c r="E447" s="795"/>
      <c r="F447" s="795"/>
      <c r="G447" s="756"/>
      <c r="H447" s="757"/>
      <c r="I447" s="758"/>
      <c r="K447" s="760"/>
      <c r="L447" s="761"/>
    </row>
    <row r="448" spans="1:12" s="732" customFormat="1" ht="15">
      <c r="A448" s="753"/>
      <c r="B448" s="776" t="s">
        <v>196</v>
      </c>
      <c r="C448" s="795"/>
      <c r="D448" s="795"/>
      <c r="E448" s="795"/>
      <c r="F448" s="795"/>
      <c r="G448" s="756">
        <f>I449</f>
        <v>50000</v>
      </c>
      <c r="H448" s="757"/>
      <c r="I448" s="758">
        <v>50000</v>
      </c>
      <c r="K448" s="760"/>
      <c r="L448" s="761"/>
    </row>
    <row r="449" spans="1:12" s="732" customFormat="1" ht="15.75" thickBot="1">
      <c r="A449" s="753"/>
      <c r="B449" s="776" t="s">
        <v>197</v>
      </c>
      <c r="C449" s="795"/>
      <c r="D449" s="795"/>
      <c r="E449" s="795"/>
      <c r="F449" s="795"/>
      <c r="G449" s="843">
        <v>50000</v>
      </c>
      <c r="H449" s="757"/>
      <c r="I449" s="844">
        <v>50000</v>
      </c>
      <c r="K449" s="760"/>
      <c r="L449" s="761"/>
    </row>
    <row r="450" spans="1:12" s="732" customFormat="1" ht="9" customHeight="1" thickTop="1">
      <c r="A450" s="753"/>
      <c r="B450" s="776"/>
      <c r="C450" s="795"/>
      <c r="D450" s="795"/>
      <c r="E450" s="795"/>
      <c r="F450" s="795"/>
      <c r="G450" s="756"/>
      <c r="H450" s="757"/>
      <c r="I450" s="754"/>
      <c r="K450" s="760"/>
      <c r="L450" s="761"/>
    </row>
    <row r="451" spans="1:12" s="732" customFormat="1" ht="15">
      <c r="A451" s="753"/>
      <c r="B451" s="1278" t="s">
        <v>295</v>
      </c>
      <c r="C451" s="1278"/>
      <c r="D451" s="1278"/>
      <c r="E451" s="1278"/>
      <c r="F451" s="1278"/>
      <c r="G451" s="1278"/>
      <c r="H451" s="757"/>
      <c r="I451" s="754" t="s">
        <v>1587</v>
      </c>
      <c r="K451" s="760"/>
      <c r="L451" s="761"/>
    </row>
    <row r="452" spans="1:12" s="732" customFormat="1" ht="9" customHeight="1">
      <c r="A452" s="753"/>
      <c r="B452" s="795"/>
      <c r="C452" s="795"/>
      <c r="D452" s="795"/>
      <c r="E452" s="795"/>
      <c r="F452" s="795"/>
      <c r="G452" s="795"/>
      <c r="H452" s="757"/>
      <c r="I452" s="754"/>
      <c r="K452" s="760"/>
      <c r="L452" s="761"/>
    </row>
    <row r="453" spans="1:12" s="732" customFormat="1" ht="15">
      <c r="A453" s="753"/>
      <c r="B453" s="795" t="s">
        <v>414</v>
      </c>
      <c r="C453" s="795"/>
      <c r="D453" s="795"/>
      <c r="E453" s="795"/>
      <c r="F453" s="795"/>
      <c r="G453" s="756"/>
      <c r="H453" s="757"/>
      <c r="I453" s="754"/>
      <c r="K453" s="760"/>
      <c r="L453" s="761"/>
    </row>
    <row r="454" spans="1:12" s="732" customFormat="1" ht="9" customHeight="1">
      <c r="A454" s="753"/>
      <c r="B454" s="795"/>
      <c r="C454" s="795"/>
      <c r="D454" s="795"/>
      <c r="E454" s="795"/>
      <c r="F454" s="795"/>
      <c r="G454" s="756"/>
      <c r="H454" s="757"/>
      <c r="I454" s="754"/>
      <c r="K454" s="760"/>
      <c r="L454" s="761"/>
    </row>
    <row r="455" spans="1:12" s="732" customFormat="1" ht="15">
      <c r="A455" s="753"/>
      <c r="B455" s="776" t="s">
        <v>1101</v>
      </c>
      <c r="C455" s="795"/>
      <c r="D455" s="795"/>
      <c r="E455" s="795"/>
      <c r="F455" s="795"/>
      <c r="G455" s="811" t="str">
        <f>I456</f>
        <v>-</v>
      </c>
      <c r="H455" s="757"/>
      <c r="I455" s="758">
        <v>37332</v>
      </c>
      <c r="K455" s="760"/>
      <c r="L455" s="761"/>
    </row>
    <row r="456" spans="1:12" s="732" customFormat="1" ht="15.75" thickBot="1">
      <c r="A456" s="753"/>
      <c r="B456" s="776" t="s">
        <v>1102</v>
      </c>
      <c r="C456" s="795"/>
      <c r="D456" s="795"/>
      <c r="E456" s="795"/>
      <c r="F456" s="795"/>
      <c r="G456" s="845" t="s">
        <v>957</v>
      </c>
      <c r="H456" s="757"/>
      <c r="I456" s="845" t="s">
        <v>957</v>
      </c>
      <c r="J456" s="732" t="s">
        <v>450</v>
      </c>
      <c r="K456" s="760"/>
      <c r="L456" s="761"/>
    </row>
    <row r="457" spans="1:12" s="732" customFormat="1" ht="9" customHeight="1" thickTop="1">
      <c r="A457" s="753"/>
      <c r="B457" s="776"/>
      <c r="C457" s="795"/>
      <c r="D457" s="795"/>
      <c r="E457" s="795"/>
      <c r="F457" s="795"/>
      <c r="G457" s="756"/>
      <c r="H457" s="757"/>
      <c r="I457" s="758"/>
      <c r="K457" s="760"/>
      <c r="L457" s="761"/>
    </row>
    <row r="458" spans="1:12" s="732" customFormat="1" ht="15">
      <c r="A458" s="753"/>
      <c r="B458" s="776" t="s">
        <v>196</v>
      </c>
      <c r="C458" s="795"/>
      <c r="D458" s="795"/>
      <c r="E458" s="795"/>
      <c r="F458" s="795"/>
      <c r="G458" s="811" t="str">
        <f>I459</f>
        <v>-</v>
      </c>
      <c r="H458" s="757"/>
      <c r="I458" s="758">
        <v>50000</v>
      </c>
      <c r="K458" s="760"/>
      <c r="L458" s="761"/>
    </row>
    <row r="459" spans="1:12" s="732" customFormat="1" ht="15.75" thickBot="1">
      <c r="A459" s="753"/>
      <c r="B459" s="776" t="s">
        <v>197</v>
      </c>
      <c r="C459" s="795"/>
      <c r="D459" s="795"/>
      <c r="E459" s="795"/>
      <c r="F459" s="795"/>
      <c r="G459" s="845" t="s">
        <v>957</v>
      </c>
      <c r="H459" s="757"/>
      <c r="I459" s="845" t="s">
        <v>957</v>
      </c>
      <c r="J459" s="748" t="s">
        <v>526</v>
      </c>
      <c r="K459" s="760"/>
      <c r="L459" s="761"/>
    </row>
    <row r="460" spans="1:12" s="732" customFormat="1" ht="9" customHeight="1" thickTop="1">
      <c r="A460" s="753"/>
      <c r="B460" s="776"/>
      <c r="C460" s="795"/>
      <c r="D460" s="795"/>
      <c r="E460" s="795"/>
      <c r="F460" s="795"/>
      <c r="G460" s="756"/>
      <c r="H460" s="757"/>
      <c r="I460" s="754"/>
      <c r="K460" s="760"/>
      <c r="L460" s="761"/>
    </row>
    <row r="461" spans="1:12" s="732" customFormat="1" ht="15">
      <c r="A461" s="753"/>
      <c r="B461" s="1278" t="s">
        <v>296</v>
      </c>
      <c r="C461" s="1278"/>
      <c r="D461" s="1278"/>
      <c r="E461" s="1278"/>
      <c r="F461" s="1278"/>
      <c r="G461" s="1278"/>
      <c r="H461" s="757"/>
      <c r="I461" s="754" t="s">
        <v>1587</v>
      </c>
      <c r="K461" s="760"/>
      <c r="L461" s="761"/>
    </row>
    <row r="462" spans="1:12" s="732" customFormat="1" ht="15">
      <c r="A462" s="753"/>
      <c r="B462" s="795"/>
      <c r="C462" s="795"/>
      <c r="D462" s="795"/>
      <c r="E462" s="795"/>
      <c r="F462" s="795"/>
      <c r="G462" s="795"/>
      <c r="H462" s="757"/>
      <c r="I462" s="754"/>
      <c r="K462" s="760"/>
      <c r="L462" s="761"/>
    </row>
    <row r="463" spans="1:12" s="732" customFormat="1" ht="15">
      <c r="A463" s="753"/>
      <c r="B463" s="795"/>
      <c r="C463" s="795"/>
      <c r="D463" s="795"/>
      <c r="E463" s="795"/>
      <c r="F463" s="795"/>
      <c r="G463" s="795"/>
      <c r="H463" s="757"/>
      <c r="I463" s="754"/>
      <c r="K463" s="760"/>
      <c r="L463" s="761"/>
    </row>
    <row r="464" spans="1:12" s="732" customFormat="1" ht="15">
      <c r="A464" s="753"/>
      <c r="B464" s="795"/>
      <c r="C464" s="795"/>
      <c r="D464" s="795"/>
      <c r="E464" s="795"/>
      <c r="F464" s="795"/>
      <c r="G464" s="795"/>
      <c r="H464" s="757"/>
      <c r="I464" s="754"/>
      <c r="K464" s="760"/>
      <c r="L464" s="761"/>
    </row>
    <row r="465" spans="1:12" s="732" customFormat="1" ht="15">
      <c r="A465" s="753"/>
      <c r="B465" s="795"/>
      <c r="C465" s="795"/>
      <c r="D465" s="795"/>
      <c r="E465" s="795"/>
      <c r="F465" s="795"/>
      <c r="G465" s="795"/>
      <c r="H465" s="757"/>
      <c r="I465" s="754"/>
      <c r="K465" s="760"/>
      <c r="L465" s="761"/>
    </row>
    <row r="466" spans="1:12" s="821" customFormat="1" ht="15">
      <c r="A466" s="1270" t="s">
        <v>1569</v>
      </c>
      <c r="B466" s="1270"/>
      <c r="C466" s="1270"/>
      <c r="D466" s="1270"/>
      <c r="E466" s="1270"/>
      <c r="F466" s="1270"/>
      <c r="G466" s="1270"/>
      <c r="H466" s="1270"/>
      <c r="I466" s="1270"/>
      <c r="K466" s="822"/>
      <c r="L466" s="823"/>
    </row>
    <row r="467" spans="1:12" s="732" customFormat="1" ht="15">
      <c r="A467" s="753"/>
      <c r="B467" s="795"/>
      <c r="C467" s="795"/>
      <c r="D467" s="795"/>
      <c r="E467" s="795"/>
      <c r="F467" s="795"/>
      <c r="G467" s="795"/>
      <c r="H467" s="757"/>
      <c r="I467" s="754"/>
      <c r="K467" s="760"/>
      <c r="L467" s="761"/>
    </row>
    <row r="469" spans="11:12" s="821" customFormat="1" ht="15">
      <c r="K469" s="822"/>
      <c r="L469" s="823"/>
    </row>
    <row r="470" spans="1:12" s="732" customFormat="1" ht="15">
      <c r="A470" s="753"/>
      <c r="B470" s="795" t="s">
        <v>415</v>
      </c>
      <c r="C470" s="795"/>
      <c r="D470" s="795"/>
      <c r="E470" s="795"/>
      <c r="F470" s="795"/>
      <c r="G470" s="756"/>
      <c r="H470" s="757"/>
      <c r="I470" s="754"/>
      <c r="K470" s="760"/>
      <c r="L470" s="761"/>
    </row>
    <row r="471" spans="1:12" s="732" customFormat="1" ht="9" customHeight="1">
      <c r="A471" s="753"/>
      <c r="B471" s="795"/>
      <c r="C471" s="795"/>
      <c r="D471" s="795"/>
      <c r="E471" s="795"/>
      <c r="F471" s="795"/>
      <c r="G471" s="756"/>
      <c r="H471" s="757"/>
      <c r="I471" s="754"/>
      <c r="K471" s="760"/>
      <c r="L471" s="761"/>
    </row>
    <row r="472" spans="1:12" s="732" customFormat="1" ht="15">
      <c r="A472" s="753"/>
      <c r="B472" s="776" t="s">
        <v>1101</v>
      </c>
      <c r="C472" s="795"/>
      <c r="D472" s="795"/>
      <c r="E472" s="795"/>
      <c r="F472" s="795"/>
      <c r="G472" s="811" t="s">
        <v>957</v>
      </c>
      <c r="H472" s="757"/>
      <c r="I472" s="754">
        <v>-17176</v>
      </c>
      <c r="K472" s="760"/>
      <c r="L472" s="761"/>
    </row>
    <row r="473" spans="1:12" s="732" customFormat="1" ht="15.75" thickBot="1">
      <c r="A473" s="753"/>
      <c r="B473" s="776" t="s">
        <v>1102</v>
      </c>
      <c r="C473" s="795"/>
      <c r="D473" s="795"/>
      <c r="E473" s="795"/>
      <c r="F473" s="795"/>
      <c r="G473" s="845" t="s">
        <v>957</v>
      </c>
      <c r="H473" s="757"/>
      <c r="I473" s="846">
        <v>0</v>
      </c>
      <c r="J473" s="732" t="s">
        <v>451</v>
      </c>
      <c r="K473" s="760"/>
      <c r="L473" s="761"/>
    </row>
    <row r="474" spans="1:12" s="732" customFormat="1" ht="7.5" customHeight="1" thickTop="1">
      <c r="A474" s="1271"/>
      <c r="B474" s="1271"/>
      <c r="C474" s="1271"/>
      <c r="D474" s="1271"/>
      <c r="E474" s="1271"/>
      <c r="F474" s="1271"/>
      <c r="G474" s="1271"/>
      <c r="H474" s="1271"/>
      <c r="I474" s="1271"/>
      <c r="K474" s="760"/>
      <c r="L474" s="761"/>
    </row>
    <row r="475" spans="1:12" s="732" customFormat="1" ht="15">
      <c r="A475" s="753"/>
      <c r="B475" s="776" t="s">
        <v>196</v>
      </c>
      <c r="C475" s="795"/>
      <c r="D475" s="795"/>
      <c r="E475" s="795"/>
      <c r="F475" s="795"/>
      <c r="G475" s="811" t="s">
        <v>957</v>
      </c>
      <c r="H475" s="757"/>
      <c r="I475" s="754">
        <v>0</v>
      </c>
      <c r="K475" s="760"/>
      <c r="L475" s="761"/>
    </row>
    <row r="476" spans="1:12" s="732" customFormat="1" ht="15.75" thickBot="1">
      <c r="A476" s="753"/>
      <c r="B476" s="776" t="s">
        <v>197</v>
      </c>
      <c r="C476" s="795"/>
      <c r="D476" s="795"/>
      <c r="E476" s="795"/>
      <c r="F476" s="795"/>
      <c r="G476" s="845" t="s">
        <v>957</v>
      </c>
      <c r="H476" s="757"/>
      <c r="I476" s="846">
        <v>0</v>
      </c>
      <c r="J476" s="748" t="s">
        <v>524</v>
      </c>
      <c r="K476" s="760"/>
      <c r="L476" s="761"/>
    </row>
    <row r="477" ht="9" customHeight="1" thickTop="1"/>
    <row r="478" spans="1:12" s="732" customFormat="1" ht="15">
      <c r="A478" s="803"/>
      <c r="B478" s="794"/>
      <c r="C478" s="794"/>
      <c r="D478" s="794"/>
      <c r="E478" s="794"/>
      <c r="F478" s="794"/>
      <c r="G478" s="794"/>
      <c r="H478" s="794"/>
      <c r="I478" s="1175"/>
      <c r="K478" s="760"/>
      <c r="L478" s="761"/>
    </row>
    <row r="479" spans="1:12" s="732" customFormat="1" ht="15">
      <c r="A479" s="753"/>
      <c r="B479" s="1278" t="s">
        <v>297</v>
      </c>
      <c r="C479" s="1278"/>
      <c r="D479" s="1278"/>
      <c r="E479" s="1278"/>
      <c r="F479" s="1278"/>
      <c r="G479" s="1278"/>
      <c r="H479" s="757"/>
      <c r="I479" s="754" t="s">
        <v>1587</v>
      </c>
      <c r="K479" s="760"/>
      <c r="L479" s="761"/>
    </row>
    <row r="480" spans="1:12" s="732" customFormat="1" ht="9" customHeight="1">
      <c r="A480" s="753"/>
      <c r="B480" s="795"/>
      <c r="C480" s="795"/>
      <c r="D480" s="795"/>
      <c r="E480" s="795"/>
      <c r="F480" s="795"/>
      <c r="G480" s="756"/>
      <c r="H480" s="757"/>
      <c r="I480" s="754"/>
      <c r="K480" s="760"/>
      <c r="L480" s="761"/>
    </row>
    <row r="481" spans="1:12" s="732" customFormat="1" ht="15">
      <c r="A481" s="753"/>
      <c r="B481" s="795" t="s">
        <v>419</v>
      </c>
      <c r="C481" s="795"/>
      <c r="D481" s="795"/>
      <c r="E481" s="795"/>
      <c r="F481" s="795"/>
      <c r="G481" s="756"/>
      <c r="H481" s="757"/>
      <c r="I481" s="754"/>
      <c r="K481" s="760"/>
      <c r="L481" s="761"/>
    </row>
    <row r="482" spans="1:12" s="732" customFormat="1" ht="9" customHeight="1">
      <c r="A482" s="753"/>
      <c r="B482" s="795"/>
      <c r="C482" s="795"/>
      <c r="D482" s="795"/>
      <c r="E482" s="795"/>
      <c r="F482" s="795"/>
      <c r="G482" s="756"/>
      <c r="H482" s="757"/>
      <c r="I482" s="754"/>
      <c r="K482" s="760"/>
      <c r="L482" s="761"/>
    </row>
    <row r="483" spans="1:12" s="732" customFormat="1" ht="15">
      <c r="A483" s="753"/>
      <c r="B483" s="776" t="s">
        <v>1101</v>
      </c>
      <c r="C483" s="795"/>
      <c r="D483" s="795"/>
      <c r="E483" s="795"/>
      <c r="F483" s="795"/>
      <c r="G483" s="811" t="str">
        <f>I484</f>
        <v>-</v>
      </c>
      <c r="H483" s="764"/>
      <c r="I483" s="758">
        <v>32848</v>
      </c>
      <c r="K483" s="760"/>
      <c r="L483" s="761"/>
    </row>
    <row r="484" spans="1:12" s="732" customFormat="1" ht="15.75" thickBot="1">
      <c r="A484" s="753"/>
      <c r="B484" s="776" t="s">
        <v>1102</v>
      </c>
      <c r="C484" s="795"/>
      <c r="D484" s="795"/>
      <c r="E484" s="795"/>
      <c r="F484" s="795"/>
      <c r="G484" s="845" t="s">
        <v>957</v>
      </c>
      <c r="H484" s="764"/>
      <c r="I484" s="845" t="s">
        <v>957</v>
      </c>
      <c r="J484" s="732" t="s">
        <v>452</v>
      </c>
      <c r="K484" s="760"/>
      <c r="L484" s="761"/>
    </row>
    <row r="485" spans="1:12" s="732" customFormat="1" ht="9" customHeight="1" thickTop="1">
      <c r="A485" s="753"/>
      <c r="B485" s="776"/>
      <c r="C485" s="795"/>
      <c r="D485" s="795"/>
      <c r="E485" s="795"/>
      <c r="F485" s="795"/>
      <c r="G485" s="811"/>
      <c r="H485" s="757"/>
      <c r="I485" s="757"/>
      <c r="K485" s="760"/>
      <c r="L485" s="761"/>
    </row>
    <row r="486" spans="1:12" s="732" customFormat="1" ht="15">
      <c r="A486" s="753"/>
      <c r="B486" s="776" t="s">
        <v>196</v>
      </c>
      <c r="C486" s="795"/>
      <c r="D486" s="795"/>
      <c r="E486" s="795"/>
      <c r="F486" s="795"/>
      <c r="G486" s="811" t="str">
        <f>I487</f>
        <v>-</v>
      </c>
      <c r="H486" s="757"/>
      <c r="I486" s="758">
        <v>50000</v>
      </c>
      <c r="K486" s="760"/>
      <c r="L486" s="761"/>
    </row>
    <row r="487" spans="1:12" s="732" customFormat="1" ht="15.75" thickBot="1">
      <c r="A487" s="753"/>
      <c r="B487" s="776" t="s">
        <v>197</v>
      </c>
      <c r="C487" s="795"/>
      <c r="D487" s="795"/>
      <c r="E487" s="795"/>
      <c r="F487" s="795"/>
      <c r="G487" s="845" t="s">
        <v>957</v>
      </c>
      <c r="H487" s="757"/>
      <c r="I487" s="845" t="s">
        <v>957</v>
      </c>
      <c r="J487" s="748" t="s">
        <v>527</v>
      </c>
      <c r="K487" s="760"/>
      <c r="L487" s="761"/>
    </row>
    <row r="488" ht="7.5" customHeight="1" thickTop="1"/>
    <row r="489" spans="1:12" s="732" customFormat="1" ht="15">
      <c r="A489" s="753"/>
      <c r="B489" s="1278" t="s">
        <v>298</v>
      </c>
      <c r="C489" s="1278"/>
      <c r="D489" s="1278"/>
      <c r="E489" s="1278"/>
      <c r="F489" s="1278"/>
      <c r="G489" s="1278"/>
      <c r="H489" s="757"/>
      <c r="I489" s="754" t="s">
        <v>1587</v>
      </c>
      <c r="K489" s="760"/>
      <c r="L489" s="761"/>
    </row>
    <row r="490" spans="1:12" s="732" customFormat="1" ht="9" customHeight="1">
      <c r="A490" s="753"/>
      <c r="B490" s="795"/>
      <c r="C490" s="795"/>
      <c r="D490" s="795"/>
      <c r="E490" s="795"/>
      <c r="F490" s="795"/>
      <c r="G490" s="756"/>
      <c r="H490" s="757"/>
      <c r="I490" s="754"/>
      <c r="K490" s="760"/>
      <c r="L490" s="761"/>
    </row>
    <row r="491" spans="1:12" s="732" customFormat="1" ht="15">
      <c r="A491" s="753"/>
      <c r="B491" s="795" t="s">
        <v>420</v>
      </c>
      <c r="C491" s="795"/>
      <c r="D491" s="795"/>
      <c r="E491" s="795"/>
      <c r="F491" s="795"/>
      <c r="G491" s="756"/>
      <c r="H491" s="757"/>
      <c r="I491" s="754"/>
      <c r="K491" s="760"/>
      <c r="L491" s="761"/>
    </row>
    <row r="492" spans="1:12" s="732" customFormat="1" ht="9" customHeight="1">
      <c r="A492" s="753"/>
      <c r="B492" s="795"/>
      <c r="C492" s="795"/>
      <c r="D492" s="795"/>
      <c r="E492" s="795"/>
      <c r="F492" s="795"/>
      <c r="G492" s="756"/>
      <c r="H492" s="757"/>
      <c r="I492" s="754"/>
      <c r="K492" s="760"/>
      <c r="L492" s="761"/>
    </row>
    <row r="493" spans="1:12" s="732" customFormat="1" ht="15">
      <c r="A493" s="753"/>
      <c r="B493" s="776" t="s">
        <v>1101</v>
      </c>
      <c r="C493" s="795"/>
      <c r="D493" s="795"/>
      <c r="E493" s="795"/>
      <c r="F493" s="795"/>
      <c r="G493" s="756">
        <f>I494</f>
        <v>846290</v>
      </c>
      <c r="H493" s="757"/>
      <c r="I493" s="758">
        <v>2515777</v>
      </c>
      <c r="K493" s="760"/>
      <c r="L493" s="761"/>
    </row>
    <row r="494" spans="1:12" s="732" customFormat="1" ht="15.75" thickBot="1">
      <c r="A494" s="753"/>
      <c r="B494" s="776" t="s">
        <v>1102</v>
      </c>
      <c r="C494" s="795"/>
      <c r="D494" s="795"/>
      <c r="E494" s="795"/>
      <c r="F494" s="795"/>
      <c r="G494" s="843">
        <v>1398305</v>
      </c>
      <c r="H494" s="757"/>
      <c r="I494" s="844">
        <v>846290</v>
      </c>
      <c r="J494" s="732" t="s">
        <v>453</v>
      </c>
      <c r="K494" s="760"/>
      <c r="L494" s="761"/>
    </row>
    <row r="495" ht="9" customHeight="1" thickTop="1"/>
    <row r="496" spans="1:12" s="732" customFormat="1" ht="15">
      <c r="A496" s="753"/>
      <c r="B496" s="776" t="s">
        <v>196</v>
      </c>
      <c r="C496" s="795"/>
      <c r="D496" s="795"/>
      <c r="E496" s="795"/>
      <c r="F496" s="795"/>
      <c r="G496" s="756">
        <f>I497</f>
        <v>846290</v>
      </c>
      <c r="H496" s="757"/>
      <c r="I496" s="758">
        <v>2515777</v>
      </c>
      <c r="K496" s="760"/>
      <c r="L496" s="761"/>
    </row>
    <row r="497" spans="1:12" s="732" customFormat="1" ht="15.75" thickBot="1">
      <c r="A497" s="753"/>
      <c r="B497" s="776" t="s">
        <v>197</v>
      </c>
      <c r="C497" s="795"/>
      <c r="D497" s="795"/>
      <c r="E497" s="795"/>
      <c r="F497" s="795"/>
      <c r="G497" s="843">
        <v>1402955</v>
      </c>
      <c r="H497" s="757"/>
      <c r="I497" s="844">
        <v>846290</v>
      </c>
      <c r="K497" s="760"/>
      <c r="L497" s="761"/>
    </row>
    <row r="498" spans="1:12" s="732" customFormat="1" ht="9" customHeight="1" thickTop="1">
      <c r="A498" s="753"/>
      <c r="B498" s="776"/>
      <c r="C498" s="795"/>
      <c r="D498" s="795"/>
      <c r="E498" s="795"/>
      <c r="F498" s="795"/>
      <c r="G498" s="765"/>
      <c r="H498" s="757"/>
      <c r="I498" s="764"/>
      <c r="K498" s="760"/>
      <c r="L498" s="761"/>
    </row>
    <row r="499" spans="1:12" s="732" customFormat="1" ht="15">
      <c r="A499" s="753"/>
      <c r="B499" s="1278" t="s">
        <v>299</v>
      </c>
      <c r="C499" s="1278"/>
      <c r="D499" s="1278"/>
      <c r="E499" s="1278"/>
      <c r="F499" s="795"/>
      <c r="G499" s="756" t="s">
        <v>1587</v>
      </c>
      <c r="H499" s="757"/>
      <c r="I499" s="758" t="s">
        <v>1587</v>
      </c>
      <c r="K499" s="760"/>
      <c r="L499" s="761"/>
    </row>
    <row r="500" spans="1:12" s="732" customFormat="1" ht="9" customHeight="1">
      <c r="A500" s="753"/>
      <c r="B500" s="795" t="s">
        <v>1587</v>
      </c>
      <c r="C500" s="795"/>
      <c r="D500" s="795"/>
      <c r="E500" s="795"/>
      <c r="F500" s="795"/>
      <c r="G500" s="756" t="s">
        <v>1587</v>
      </c>
      <c r="H500" s="757"/>
      <c r="I500" s="758" t="s">
        <v>1587</v>
      </c>
      <c r="K500" s="760"/>
      <c r="L500" s="761"/>
    </row>
    <row r="501" spans="1:12" s="732" customFormat="1" ht="15">
      <c r="A501" s="753"/>
      <c r="B501" s="776" t="s">
        <v>1101</v>
      </c>
      <c r="C501" s="776"/>
      <c r="D501" s="776"/>
      <c r="E501" s="776"/>
      <c r="F501" s="795"/>
      <c r="G501" s="811" t="str">
        <f>I502</f>
        <v>-</v>
      </c>
      <c r="H501" s="757"/>
      <c r="I501" s="758">
        <v>-34276</v>
      </c>
      <c r="K501" s="760"/>
      <c r="L501" s="761"/>
    </row>
    <row r="502" spans="1:12" s="732" customFormat="1" ht="15.75" thickBot="1">
      <c r="A502" s="753"/>
      <c r="B502" s="776" t="s">
        <v>1102</v>
      </c>
      <c r="C502" s="776"/>
      <c r="D502" s="776"/>
      <c r="E502" s="776"/>
      <c r="F502" s="795"/>
      <c r="G502" s="845" t="s">
        <v>957</v>
      </c>
      <c r="H502" s="757"/>
      <c r="I502" s="845" t="s">
        <v>957</v>
      </c>
      <c r="J502" s="732" t="s">
        <v>454</v>
      </c>
      <c r="K502" s="760"/>
      <c r="L502" s="761"/>
    </row>
    <row r="503" spans="1:12" s="732" customFormat="1" ht="9" customHeight="1" thickTop="1">
      <c r="A503" s="753"/>
      <c r="B503" s="776"/>
      <c r="C503" s="776"/>
      <c r="D503" s="776"/>
      <c r="E503" s="776"/>
      <c r="F503" s="795"/>
      <c r="G503" s="756"/>
      <c r="H503" s="757"/>
      <c r="I503" s="758"/>
      <c r="K503" s="760"/>
      <c r="L503" s="761"/>
    </row>
    <row r="504" spans="1:12" s="732" customFormat="1" ht="15">
      <c r="A504" s="753"/>
      <c r="B504" s="776" t="s">
        <v>196</v>
      </c>
      <c r="C504" s="776"/>
      <c r="D504" s="776"/>
      <c r="E504" s="776"/>
      <c r="F504" s="795"/>
      <c r="G504" s="811" t="s">
        <v>957</v>
      </c>
      <c r="H504" s="757"/>
      <c r="I504" s="811" t="s">
        <v>957</v>
      </c>
      <c r="K504" s="760"/>
      <c r="L504" s="761"/>
    </row>
    <row r="505" spans="1:12" s="732" customFormat="1" ht="15.75" thickBot="1">
      <c r="A505" s="753"/>
      <c r="B505" s="776" t="s">
        <v>197</v>
      </c>
      <c r="C505" s="776"/>
      <c r="D505" s="776"/>
      <c r="E505" s="776"/>
      <c r="F505" s="795"/>
      <c r="G505" s="845" t="s">
        <v>957</v>
      </c>
      <c r="H505" s="757"/>
      <c r="I505" s="845" t="s">
        <v>957</v>
      </c>
      <c r="J505" s="748" t="s">
        <v>525</v>
      </c>
      <c r="K505" s="760"/>
      <c r="L505" s="761"/>
    </row>
    <row r="506" ht="9" customHeight="1" thickTop="1">
      <c r="I506" s="847"/>
    </row>
    <row r="507" spans="1:12" s="732" customFormat="1" ht="15">
      <c r="A507" s="753"/>
      <c r="B507" s="1278" t="s">
        <v>300</v>
      </c>
      <c r="C507" s="1278"/>
      <c r="D507" s="1278"/>
      <c r="E507" s="1278"/>
      <c r="F507" s="1278"/>
      <c r="G507" s="1278"/>
      <c r="H507" s="757"/>
      <c r="I507" s="754" t="s">
        <v>1587</v>
      </c>
      <c r="K507" s="760"/>
      <c r="L507" s="761"/>
    </row>
    <row r="508" spans="1:12" s="732" customFormat="1" ht="9" customHeight="1">
      <c r="A508" s="753"/>
      <c r="B508" s="795"/>
      <c r="C508" s="795"/>
      <c r="D508" s="795"/>
      <c r="E508" s="795"/>
      <c r="F508" s="795"/>
      <c r="G508" s="756"/>
      <c r="H508" s="757"/>
      <c r="I508" s="754"/>
      <c r="K508" s="760"/>
      <c r="L508" s="761"/>
    </row>
    <row r="509" spans="1:12" s="732" customFormat="1" ht="15">
      <c r="A509" s="753"/>
      <c r="B509" s="795" t="s">
        <v>421</v>
      </c>
      <c r="C509" s="776"/>
      <c r="D509" s="776"/>
      <c r="E509" s="776"/>
      <c r="F509" s="795"/>
      <c r="G509" s="756"/>
      <c r="H509" s="757"/>
      <c r="I509" s="754"/>
      <c r="K509" s="760"/>
      <c r="L509" s="761"/>
    </row>
    <row r="510" spans="1:12" s="732" customFormat="1" ht="9" customHeight="1">
      <c r="A510" s="753"/>
      <c r="B510" s="795"/>
      <c r="C510" s="776"/>
      <c r="D510" s="776"/>
      <c r="E510" s="776"/>
      <c r="F510" s="795"/>
      <c r="G510" s="756"/>
      <c r="H510" s="757"/>
      <c r="I510" s="754"/>
      <c r="K510" s="760"/>
      <c r="L510" s="761"/>
    </row>
    <row r="511" spans="1:12" s="732" customFormat="1" ht="15">
      <c r="A511" s="753"/>
      <c r="B511" s="776" t="s">
        <v>1101</v>
      </c>
      <c r="C511" s="776"/>
      <c r="D511" s="776"/>
      <c r="E511" s="776"/>
      <c r="F511" s="795"/>
      <c r="G511" s="811">
        <f>I512</f>
        <v>12697</v>
      </c>
      <c r="H511" s="757"/>
      <c r="I511" s="754">
        <f>J512</f>
        <v>0</v>
      </c>
      <c r="K511" s="760"/>
      <c r="L511" s="761"/>
    </row>
    <row r="512" spans="1:12" s="732" customFormat="1" ht="15.75" thickBot="1">
      <c r="A512" s="753"/>
      <c r="B512" s="776" t="s">
        <v>1102</v>
      </c>
      <c r="C512" s="776"/>
      <c r="D512" s="776"/>
      <c r="E512" s="776"/>
      <c r="F512" s="795"/>
      <c r="G512" s="843">
        <v>160134</v>
      </c>
      <c r="H512" s="757"/>
      <c r="I512" s="846">
        <v>12697</v>
      </c>
      <c r="K512" s="760"/>
      <c r="L512" s="761"/>
    </row>
    <row r="513" spans="1:12" s="732" customFormat="1" ht="9" customHeight="1" thickTop="1">
      <c r="A513" s="753"/>
      <c r="B513" s="776"/>
      <c r="C513" s="776"/>
      <c r="D513" s="776"/>
      <c r="E513" s="776"/>
      <c r="F513" s="795"/>
      <c r="G513" s="756"/>
      <c r="H513" s="757"/>
      <c r="I513" s="754"/>
      <c r="K513" s="760">
        <v>25149884</v>
      </c>
      <c r="L513" s="761"/>
    </row>
    <row r="514" spans="1:12" s="732" customFormat="1" ht="15">
      <c r="A514" s="753"/>
      <c r="B514" s="776" t="s">
        <v>196</v>
      </c>
      <c r="C514" s="776"/>
      <c r="D514" s="776"/>
      <c r="E514" s="776"/>
      <c r="F514" s="795"/>
      <c r="G514" s="811">
        <f>I515</f>
        <v>12697</v>
      </c>
      <c r="H514" s="757"/>
      <c r="I514" s="754">
        <v>0</v>
      </c>
      <c r="K514" s="760">
        <f>-G530</f>
        <v>-17017284</v>
      </c>
      <c r="L514" s="761"/>
    </row>
    <row r="515" spans="1:12" s="732" customFormat="1" ht="15.75" thickBot="1">
      <c r="A515" s="753"/>
      <c r="B515" s="776" t="s">
        <v>197</v>
      </c>
      <c r="C515" s="776"/>
      <c r="D515" s="776"/>
      <c r="E515" s="776"/>
      <c r="F515" s="795"/>
      <c r="G515" s="843">
        <v>160134</v>
      </c>
      <c r="H515" s="757"/>
      <c r="I515" s="846">
        <v>12697</v>
      </c>
      <c r="K515" s="760">
        <f>SUM(K513:K514)</f>
        <v>8132600</v>
      </c>
      <c r="L515" s="761"/>
    </row>
    <row r="516" spans="1:12" s="732" customFormat="1" ht="9" customHeight="1" thickTop="1">
      <c r="A516" s="753"/>
      <c r="B516" s="795"/>
      <c r="C516" s="795"/>
      <c r="D516" s="795"/>
      <c r="E516" s="795"/>
      <c r="F516" s="795"/>
      <c r="G516" s="756"/>
      <c r="H516" s="757"/>
      <c r="I516" s="754"/>
      <c r="K516" s="760"/>
      <c r="L516" s="761"/>
    </row>
    <row r="517" spans="1:12" s="732" customFormat="1" ht="15.75" thickBot="1">
      <c r="A517" s="753"/>
      <c r="B517" s="795" t="s">
        <v>489</v>
      </c>
      <c r="C517" s="795"/>
      <c r="D517" s="795"/>
      <c r="E517" s="795"/>
      <c r="F517" s="795"/>
      <c r="G517" s="1103">
        <v>0</v>
      </c>
      <c r="H517" s="757"/>
      <c r="I517" s="844">
        <v>2327499</v>
      </c>
      <c r="J517" s="732" t="s">
        <v>455</v>
      </c>
      <c r="K517" s="760"/>
      <c r="L517" s="761"/>
    </row>
    <row r="518" spans="1:12" s="732" customFormat="1" ht="9" customHeight="1" thickTop="1">
      <c r="A518" s="753"/>
      <c r="B518" s="795"/>
      <c r="C518" s="795"/>
      <c r="D518" s="795"/>
      <c r="E518" s="795"/>
      <c r="F518" s="795"/>
      <c r="G518" s="765"/>
      <c r="H518" s="757"/>
      <c r="I518" s="757"/>
      <c r="K518" s="760">
        <f>I522-I525</f>
        <v>-838740</v>
      </c>
      <c r="L518" s="761"/>
    </row>
    <row r="519" spans="1:12" s="732" customFormat="1" ht="15">
      <c r="A519" s="753"/>
      <c r="B519" s="1278" t="s">
        <v>1103</v>
      </c>
      <c r="C519" s="1278"/>
      <c r="D519" s="1278"/>
      <c r="E519" s="1278"/>
      <c r="F519" s="1278"/>
      <c r="G519" s="1278"/>
      <c r="H519" s="1278"/>
      <c r="I519" s="1278"/>
      <c r="K519" s="760"/>
      <c r="L519" s="761"/>
    </row>
    <row r="520" spans="1:12" s="732" customFormat="1" ht="9" customHeight="1">
      <c r="A520" s="753"/>
      <c r="B520" s="795"/>
      <c r="C520" s="795"/>
      <c r="D520" s="795"/>
      <c r="E520" s="795"/>
      <c r="F520" s="795"/>
      <c r="G520" s="795"/>
      <c r="H520" s="795"/>
      <c r="I520" s="776"/>
      <c r="K520" s="760"/>
      <c r="L520" s="761"/>
    </row>
    <row r="521" spans="1:12" s="732" customFormat="1" ht="15">
      <c r="A521" s="753"/>
      <c r="B521" s="776" t="s">
        <v>1101</v>
      </c>
      <c r="C521" s="776"/>
      <c r="D521" s="776"/>
      <c r="E521" s="776"/>
      <c r="F521" s="776"/>
      <c r="G521" s="766">
        <f>I522</f>
        <v>5998776</v>
      </c>
      <c r="H521" s="757"/>
      <c r="I521" s="766">
        <v>10067465</v>
      </c>
      <c r="K521" s="760">
        <v>4875381</v>
      </c>
      <c r="L521" s="761"/>
    </row>
    <row r="522" spans="1:12" s="732" customFormat="1" ht="15">
      <c r="A522" s="753"/>
      <c r="B522" s="776" t="s">
        <v>301</v>
      </c>
      <c r="C522" s="776"/>
      <c r="D522" s="776"/>
      <c r="E522" s="776"/>
      <c r="F522" s="776"/>
      <c r="G522" s="768">
        <f>G512+G494+G446+G436+G422+G412+G517</f>
        <v>17017284</v>
      </c>
      <c r="H522" s="757"/>
      <c r="I522" s="768">
        <v>5998776</v>
      </c>
      <c r="J522" s="732" t="s">
        <v>520</v>
      </c>
      <c r="K522" s="760">
        <v>-12141903</v>
      </c>
      <c r="L522" s="761"/>
    </row>
    <row r="523" spans="1:12" s="732" customFormat="1" ht="9" customHeight="1">
      <c r="A523" s="753"/>
      <c r="B523" s="795"/>
      <c r="C523" s="776"/>
      <c r="D523" s="776"/>
      <c r="E523" s="795"/>
      <c r="F523" s="776"/>
      <c r="G523" s="756" t="s">
        <v>1587</v>
      </c>
      <c r="H523" s="757"/>
      <c r="I523" s="765" t="s">
        <v>1587</v>
      </c>
      <c r="K523" s="760">
        <f>SUM(K521:K522)</f>
        <v>-7266522</v>
      </c>
      <c r="L523" s="761"/>
    </row>
    <row r="524" spans="1:12" s="732" customFormat="1" ht="15">
      <c r="A524" s="753"/>
      <c r="B524" s="776" t="s">
        <v>302</v>
      </c>
      <c r="C524" s="776"/>
      <c r="D524" s="776"/>
      <c r="E524" s="776"/>
      <c r="F524" s="776"/>
      <c r="G524" s="766">
        <f>I525</f>
        <v>6837516</v>
      </c>
      <c r="H524" s="757"/>
      <c r="I524" s="767">
        <v>13106932</v>
      </c>
      <c r="K524" s="760"/>
      <c r="L524" s="761"/>
    </row>
    <row r="525" spans="1:12" s="732" customFormat="1" ht="15">
      <c r="A525" s="753"/>
      <c r="B525" s="1273" t="s">
        <v>303</v>
      </c>
      <c r="C525" s="1273"/>
      <c r="D525" s="1273"/>
      <c r="E525" s="1273"/>
      <c r="F525" s="776"/>
      <c r="G525" s="769">
        <f>G515+G497+G449+G439+G425+G415</f>
        <v>25149884</v>
      </c>
      <c r="H525" s="757"/>
      <c r="I525" s="769">
        <f>I515+I497+I449+I439+I425+I415</f>
        <v>6837516</v>
      </c>
      <c r="J525" s="758">
        <f>I525-I530</f>
        <v>838740</v>
      </c>
      <c r="K525" s="760"/>
      <c r="L525" s="761"/>
    </row>
    <row r="526" spans="1:12" s="732" customFormat="1" ht="9" customHeight="1">
      <c r="A526" s="731"/>
      <c r="E526" s="748"/>
      <c r="G526" s="756"/>
      <c r="H526" s="743"/>
      <c r="I526" s="757"/>
      <c r="K526" s="760"/>
      <c r="L526" s="761"/>
    </row>
    <row r="527" spans="1:12" s="732" customFormat="1" ht="15">
      <c r="A527" s="824"/>
      <c r="B527" s="1278" t="s">
        <v>894</v>
      </c>
      <c r="C527" s="1278"/>
      <c r="D527" s="1278"/>
      <c r="E527" s="1278"/>
      <c r="F527" s="795"/>
      <c r="G527" s="812"/>
      <c r="H527" s="815"/>
      <c r="I527" s="754"/>
      <c r="K527" s="760"/>
      <c r="L527" s="761"/>
    </row>
    <row r="528" spans="1:12" s="732" customFormat="1" ht="9" customHeight="1">
      <c r="A528" s="824"/>
      <c r="B528" s="795"/>
      <c r="C528" s="795"/>
      <c r="D528" s="795"/>
      <c r="E528" s="795"/>
      <c r="F528" s="795"/>
      <c r="G528" s="812"/>
      <c r="H528" s="815"/>
      <c r="I528" s="754"/>
      <c r="K528" s="760"/>
      <c r="L528" s="761"/>
    </row>
    <row r="529" spans="1:12" s="732" customFormat="1" ht="15">
      <c r="A529" s="824"/>
      <c r="B529" s="776" t="s">
        <v>304</v>
      </c>
      <c r="C529" s="776"/>
      <c r="D529" s="776"/>
      <c r="E529" s="795"/>
      <c r="F529" s="776"/>
      <c r="G529" s="829">
        <v>37249</v>
      </c>
      <c r="H529" s="815"/>
      <c r="I529" s="829">
        <v>34376</v>
      </c>
      <c r="J529" s="732" t="s">
        <v>321</v>
      </c>
      <c r="K529" s="760">
        <v>36876.25</v>
      </c>
      <c r="L529" s="761"/>
    </row>
    <row r="530" spans="1:12" s="732" customFormat="1" ht="15">
      <c r="A530" s="824"/>
      <c r="B530" s="776" t="s">
        <v>305</v>
      </c>
      <c r="C530" s="776"/>
      <c r="D530" s="776"/>
      <c r="E530" s="795"/>
      <c r="F530" s="776"/>
      <c r="G530" s="829">
        <f>G522</f>
        <v>17017284</v>
      </c>
      <c r="H530" s="815"/>
      <c r="I530" s="848">
        <f>I522</f>
        <v>5998776</v>
      </c>
      <c r="J530" s="732" t="s">
        <v>863</v>
      </c>
      <c r="K530" s="760">
        <f>G529-K529</f>
        <v>372.75</v>
      </c>
      <c r="L530" s="761"/>
    </row>
    <row r="531" spans="1:12" s="732" customFormat="1" ht="9" customHeight="1">
      <c r="A531" s="824"/>
      <c r="B531" s="776"/>
      <c r="C531" s="776"/>
      <c r="D531" s="776"/>
      <c r="E531" s="795"/>
      <c r="F531" s="776"/>
      <c r="G531" s="849"/>
      <c r="H531" s="815"/>
      <c r="I531" s="848"/>
      <c r="K531" s="760"/>
      <c r="L531" s="761"/>
    </row>
    <row r="532" spans="1:12" s="732" customFormat="1" ht="15.75" thickBot="1">
      <c r="A532" s="824"/>
      <c r="B532" s="795"/>
      <c r="C532" s="776"/>
      <c r="D532" s="776"/>
      <c r="E532" s="795"/>
      <c r="F532" s="776"/>
      <c r="G532" s="817">
        <f>SUM(G529:G531)</f>
        <v>17054533</v>
      </c>
      <c r="H532" s="815"/>
      <c r="I532" s="1198">
        <f>SUM(I529:I531)</f>
        <v>6033152</v>
      </c>
      <c r="K532" s="760"/>
      <c r="L532" s="761"/>
    </row>
    <row r="533" spans="1:12" s="732" customFormat="1" ht="9" customHeight="1" thickTop="1">
      <c r="A533" s="753"/>
      <c r="B533" s="754"/>
      <c r="C533" s="754"/>
      <c r="D533" s="754"/>
      <c r="E533" s="755"/>
      <c r="F533" s="754"/>
      <c r="G533" s="756"/>
      <c r="H533" s="757"/>
      <c r="I533" s="758"/>
      <c r="K533" s="760"/>
      <c r="L533" s="761"/>
    </row>
    <row r="534" spans="1:12" s="732" customFormat="1" ht="15">
      <c r="A534" s="753">
        <v>16</v>
      </c>
      <c r="B534" s="795" t="s">
        <v>1383</v>
      </c>
      <c r="C534" s="755"/>
      <c r="D534" s="755"/>
      <c r="E534" s="755"/>
      <c r="F534" s="755"/>
      <c r="G534" s="796"/>
      <c r="H534" s="781"/>
      <c r="I534" s="754"/>
      <c r="J534" s="732" t="s">
        <v>457</v>
      </c>
      <c r="K534" s="760"/>
      <c r="L534" s="761"/>
    </row>
    <row r="535" spans="1:12" s="732" customFormat="1" ht="9" customHeight="1">
      <c r="A535" s="753"/>
      <c r="B535" s="776"/>
      <c r="C535" s="754"/>
      <c r="D535" s="754"/>
      <c r="E535" s="755"/>
      <c r="F535" s="754"/>
      <c r="G535" s="756"/>
      <c r="H535" s="757"/>
      <c r="I535" s="754"/>
      <c r="K535" s="760"/>
      <c r="L535" s="761"/>
    </row>
    <row r="536" spans="1:12" s="732" customFormat="1" ht="15">
      <c r="A536" s="753"/>
      <c r="B536" s="795" t="s">
        <v>306</v>
      </c>
      <c r="C536" s="754"/>
      <c r="D536" s="754"/>
      <c r="E536" s="755"/>
      <c r="F536" s="754"/>
      <c r="G536" s="756"/>
      <c r="H536" s="757"/>
      <c r="I536" s="754"/>
      <c r="J536" s="748" t="s">
        <v>324</v>
      </c>
      <c r="K536" s="760"/>
      <c r="L536" s="761"/>
    </row>
    <row r="537" spans="1:12" s="732" customFormat="1" ht="15">
      <c r="A537" s="753"/>
      <c r="B537" s="795" t="s">
        <v>307</v>
      </c>
      <c r="C537" s="754"/>
      <c r="D537" s="754"/>
      <c r="E537" s="755"/>
      <c r="F537" s="754"/>
      <c r="G537" s="756"/>
      <c r="H537" s="757"/>
      <c r="I537" s="754"/>
      <c r="J537" s="748"/>
      <c r="K537" s="760"/>
      <c r="L537" s="761"/>
    </row>
    <row r="538" spans="1:12" s="732" customFormat="1" ht="9" customHeight="1">
      <c r="A538" s="753"/>
      <c r="B538" s="795"/>
      <c r="C538" s="754"/>
      <c r="D538" s="754"/>
      <c r="E538" s="755"/>
      <c r="F538" s="754"/>
      <c r="G538" s="756"/>
      <c r="H538" s="757"/>
      <c r="I538" s="754"/>
      <c r="J538" s="748"/>
      <c r="K538" s="760"/>
      <c r="L538" s="761"/>
    </row>
    <row r="539" spans="1:12" s="732" customFormat="1" ht="15">
      <c r="A539" s="753"/>
      <c r="B539" s="776" t="s">
        <v>1384</v>
      </c>
      <c r="C539" s="754"/>
      <c r="D539" s="754"/>
      <c r="E539" s="755"/>
      <c r="F539" s="754"/>
      <c r="G539" s="756">
        <v>94675962</v>
      </c>
      <c r="H539" s="757"/>
      <c r="I539" s="758">
        <v>62719221</v>
      </c>
      <c r="J539" s="732" t="s">
        <v>323</v>
      </c>
      <c r="K539" s="760"/>
      <c r="L539" s="761"/>
    </row>
    <row r="540" spans="1:12" s="732" customFormat="1" ht="15">
      <c r="A540" s="753"/>
      <c r="B540" s="776" t="s">
        <v>1385</v>
      </c>
      <c r="C540" s="754"/>
      <c r="D540" s="754"/>
      <c r="E540" s="755"/>
      <c r="F540" s="754"/>
      <c r="G540" s="756">
        <v>13139097</v>
      </c>
      <c r="H540" s="757"/>
      <c r="I540" s="758">
        <v>8795907</v>
      </c>
      <c r="K540" s="760"/>
      <c r="L540" s="761"/>
    </row>
    <row r="541" spans="1:12" s="732" customFormat="1" ht="15">
      <c r="A541" s="753"/>
      <c r="B541" s="776" t="s">
        <v>1386</v>
      </c>
      <c r="C541" s="754"/>
      <c r="D541" s="754"/>
      <c r="E541" s="755"/>
      <c r="F541" s="754"/>
      <c r="G541" s="756">
        <f>54779952+5367451-128171+1</f>
        <v>60019233</v>
      </c>
      <c r="H541" s="757"/>
      <c r="I541" s="758">
        <v>65115503</v>
      </c>
      <c r="J541" s="732" t="s">
        <v>322</v>
      </c>
      <c r="K541" s="760"/>
      <c r="L541" s="761"/>
    </row>
    <row r="542" spans="1:12" s="732" customFormat="1" ht="9" customHeight="1">
      <c r="A542" s="753"/>
      <c r="B542" s="776"/>
      <c r="C542" s="754"/>
      <c r="D542" s="754"/>
      <c r="E542" s="755"/>
      <c r="F542" s="754"/>
      <c r="G542" s="777"/>
      <c r="H542" s="757"/>
      <c r="I542" s="758"/>
      <c r="K542" s="760"/>
      <c r="L542" s="761"/>
    </row>
    <row r="543" spans="1:12" s="732" customFormat="1" ht="15.75" thickBot="1">
      <c r="A543" s="753"/>
      <c r="B543" s="795"/>
      <c r="C543" s="754"/>
      <c r="D543" s="754"/>
      <c r="E543" s="755"/>
      <c r="F543" s="754"/>
      <c r="G543" s="771">
        <f>SUM(G539:G541)</f>
        <v>167834292</v>
      </c>
      <c r="H543" s="757"/>
      <c r="I543" s="779">
        <v>136630631</v>
      </c>
      <c r="J543" s="850">
        <f>'Grap i&amp;E'!D7</f>
        <v>167834292</v>
      </c>
      <c r="K543" s="760"/>
      <c r="L543" s="761"/>
    </row>
    <row r="544" ht="9" customHeight="1" thickTop="1"/>
    <row r="546" spans="1:12" s="732" customFormat="1" ht="15">
      <c r="A546" s="753"/>
      <c r="B546" s="795" t="s">
        <v>1389</v>
      </c>
      <c r="C546" s="754"/>
      <c r="D546" s="754"/>
      <c r="E546" s="755"/>
      <c r="F546" s="754"/>
      <c r="G546" s="851" t="s">
        <v>575</v>
      </c>
      <c r="H546" s="839" t="s">
        <v>800</v>
      </c>
      <c r="I546" s="1199" t="s">
        <v>459</v>
      </c>
      <c r="J546" s="732" t="s">
        <v>457</v>
      </c>
      <c r="K546" s="760"/>
      <c r="L546" s="761"/>
    </row>
    <row r="547" spans="1:12" s="732" customFormat="1" ht="15">
      <c r="A547" s="753"/>
      <c r="B547" s="795" t="s">
        <v>308</v>
      </c>
      <c r="C547" s="754"/>
      <c r="D547" s="754"/>
      <c r="E547" s="755"/>
      <c r="F547" s="754"/>
      <c r="G547" s="834" t="s">
        <v>1392</v>
      </c>
      <c r="H547" s="834" t="s">
        <v>1392</v>
      </c>
      <c r="I547" s="1200" t="s">
        <v>1392</v>
      </c>
      <c r="K547" s="760"/>
      <c r="L547" s="761"/>
    </row>
    <row r="548" spans="1:12" s="732" customFormat="1" ht="9" customHeight="1">
      <c r="A548" s="753"/>
      <c r="B548" s="806"/>
      <c r="C548" s="754"/>
      <c r="D548" s="754"/>
      <c r="E548" s="755"/>
      <c r="F548" s="754"/>
      <c r="G548" s="834"/>
      <c r="H548" s="835"/>
      <c r="I548" s="858"/>
      <c r="K548" s="760"/>
      <c r="L548" s="761"/>
    </row>
    <row r="549" spans="1:12" s="732" customFormat="1" ht="15">
      <c r="A549" s="753"/>
      <c r="B549" s="776" t="s">
        <v>1384</v>
      </c>
      <c r="C549" s="754"/>
      <c r="D549" s="754"/>
      <c r="E549" s="755"/>
      <c r="F549" s="754"/>
      <c r="G549" s="756">
        <v>25027209</v>
      </c>
      <c r="H549" s="757">
        <v>699758</v>
      </c>
      <c r="I549" s="758">
        <v>690390</v>
      </c>
      <c r="K549" s="760"/>
      <c r="L549" s="761"/>
    </row>
    <row r="550" spans="1:12" s="732" customFormat="1" ht="15">
      <c r="A550" s="753"/>
      <c r="B550" s="776" t="s">
        <v>1386</v>
      </c>
      <c r="C550" s="754"/>
      <c r="D550" s="754"/>
      <c r="E550" s="755"/>
      <c r="F550" s="754"/>
      <c r="G550" s="756">
        <v>8431795</v>
      </c>
      <c r="H550" s="757">
        <v>390222</v>
      </c>
      <c r="I550" s="758">
        <v>392528</v>
      </c>
      <c r="K550" s="760"/>
      <c r="L550" s="761"/>
    </row>
    <row r="551" spans="1:12" s="732" customFormat="1" ht="15">
      <c r="A551" s="753"/>
      <c r="B551" s="776" t="s">
        <v>1387</v>
      </c>
      <c r="C551" s="754"/>
      <c r="D551" s="754"/>
      <c r="E551" s="755"/>
      <c r="F551" s="754"/>
      <c r="G551" s="1068">
        <v>0</v>
      </c>
      <c r="H551" s="1069">
        <v>0</v>
      </c>
      <c r="I551" s="758">
        <v>36841</v>
      </c>
      <c r="J551" s="732" t="s">
        <v>325</v>
      </c>
      <c r="K551" s="760"/>
      <c r="L551" s="761"/>
    </row>
    <row r="552" spans="1:12" s="732" customFormat="1" ht="15">
      <c r="A552" s="753"/>
      <c r="B552" s="776" t="s">
        <v>920</v>
      </c>
      <c r="C552" s="754"/>
      <c r="D552" s="754"/>
      <c r="E552" s="755"/>
      <c r="F552" s="754"/>
      <c r="G552" s="765">
        <v>599990</v>
      </c>
      <c r="H552" s="757">
        <v>36101</v>
      </c>
      <c r="I552" s="764">
        <v>804971</v>
      </c>
      <c r="J552" s="732" t="s">
        <v>326</v>
      </c>
      <c r="K552" s="760"/>
      <c r="L552" s="761"/>
    </row>
    <row r="553" spans="1:12" s="732" customFormat="1" ht="15">
      <c r="A553" s="753"/>
      <c r="B553" s="776" t="s">
        <v>258</v>
      </c>
      <c r="C553" s="754"/>
      <c r="D553" s="754"/>
      <c r="E553" s="755"/>
      <c r="F553" s="754"/>
      <c r="G553" s="811">
        <f>37205061-G549-G550-G552</f>
        <v>3146067</v>
      </c>
      <c r="H553" s="757">
        <v>799542</v>
      </c>
      <c r="I553" s="836">
        <v>0</v>
      </c>
      <c r="K553" s="760"/>
      <c r="L553" s="761"/>
    </row>
    <row r="554" spans="1:12" s="732" customFormat="1" ht="9" customHeight="1">
      <c r="A554" s="753"/>
      <c r="B554" s="776"/>
      <c r="C554" s="754"/>
      <c r="D554" s="754"/>
      <c r="E554" s="755"/>
      <c r="F554" s="754"/>
      <c r="G554" s="765"/>
      <c r="H554" s="757"/>
      <c r="I554" s="764"/>
      <c r="K554" s="760"/>
      <c r="L554" s="761"/>
    </row>
    <row r="555" spans="1:12" s="732" customFormat="1" ht="15.75" thickBot="1">
      <c r="A555" s="753"/>
      <c r="B555" s="795"/>
      <c r="C555" s="754"/>
      <c r="D555" s="754"/>
      <c r="E555" s="755"/>
      <c r="F555" s="754"/>
      <c r="G555" s="771">
        <f>SUM(G549:G553)</f>
        <v>37205061</v>
      </c>
      <c r="H555" s="771">
        <f>SUM(H549:H553)</f>
        <v>1925623</v>
      </c>
      <c r="I555" s="779">
        <v>1924730</v>
      </c>
      <c r="K555" s="760"/>
      <c r="L555" s="761"/>
    </row>
    <row r="556" spans="1:12" s="732" customFormat="1" ht="15.75" thickTop="1">
      <c r="A556" s="753"/>
      <c r="B556" s="795"/>
      <c r="C556" s="754"/>
      <c r="D556" s="754"/>
      <c r="E556" s="755"/>
      <c r="F556" s="754"/>
      <c r="G556" s="780"/>
      <c r="H556" s="780"/>
      <c r="I556" s="810"/>
      <c r="K556" s="760"/>
      <c r="L556" s="761"/>
    </row>
    <row r="557" spans="1:12" s="732" customFormat="1" ht="55.5" customHeight="1">
      <c r="A557" s="753"/>
      <c r="B557" s="1274" t="s">
        <v>92</v>
      </c>
      <c r="C557" s="1274"/>
      <c r="D557" s="1274"/>
      <c r="E557" s="1274"/>
      <c r="F557" s="754"/>
      <c r="G557" s="780"/>
      <c r="H557" s="757"/>
      <c r="I557" s="764"/>
      <c r="J557" s="850"/>
      <c r="K557" s="760"/>
      <c r="L557" s="761"/>
    </row>
    <row r="558" spans="1:12" s="732" customFormat="1" ht="9" customHeight="1">
      <c r="A558" s="753"/>
      <c r="B558" s="795"/>
      <c r="C558" s="754"/>
      <c r="D558" s="754"/>
      <c r="E558" s="755"/>
      <c r="F558" s="754"/>
      <c r="G558" s="780"/>
      <c r="H558" s="780"/>
      <c r="I558" s="764"/>
      <c r="K558" s="760"/>
      <c r="L558" s="761"/>
    </row>
    <row r="559" spans="1:12" s="732" customFormat="1" ht="15">
      <c r="A559" s="753">
        <v>17</v>
      </c>
      <c r="B559" s="795" t="s">
        <v>1396</v>
      </c>
      <c r="C559" s="754"/>
      <c r="D559" s="754"/>
      <c r="E559" s="755"/>
      <c r="F559" s="754"/>
      <c r="G559" s="756"/>
      <c r="H559" s="757"/>
      <c r="I559" s="754"/>
      <c r="J559" s="732" t="s">
        <v>327</v>
      </c>
      <c r="K559" s="760"/>
      <c r="L559" s="761"/>
    </row>
    <row r="560" spans="1:12" s="732" customFormat="1" ht="9" customHeight="1">
      <c r="A560" s="753"/>
      <c r="B560" s="795"/>
      <c r="C560" s="754"/>
      <c r="D560" s="754"/>
      <c r="E560" s="755"/>
      <c r="F560" s="754"/>
      <c r="G560" s="756"/>
      <c r="H560" s="757"/>
      <c r="I560" s="754"/>
      <c r="K560" s="760"/>
      <c r="L560" s="761"/>
    </row>
    <row r="561" spans="1:12" s="732" customFormat="1" ht="15">
      <c r="A561" s="753"/>
      <c r="B561" s="776" t="s">
        <v>1397</v>
      </c>
      <c r="C561" s="754"/>
      <c r="D561" s="754"/>
      <c r="E561" s="755" t="s">
        <v>1587</v>
      </c>
      <c r="F561" s="754"/>
      <c r="G561" s="756">
        <v>318429972</v>
      </c>
      <c r="H561" s="757"/>
      <c r="I561" s="758">
        <f>233145583+1049</f>
        <v>233146632</v>
      </c>
      <c r="J561" s="732" t="s">
        <v>664</v>
      </c>
      <c r="K561" s="760"/>
      <c r="L561" s="761"/>
    </row>
    <row r="562" spans="1:12" s="732" customFormat="1" ht="15">
      <c r="A562" s="753"/>
      <c r="B562" s="776" t="s">
        <v>1398</v>
      </c>
      <c r="C562" s="754"/>
      <c r="D562" s="754"/>
      <c r="E562" s="755" t="s">
        <v>1587</v>
      </c>
      <c r="F562" s="754"/>
      <c r="G562" s="756">
        <v>50952942</v>
      </c>
      <c r="H562" s="757"/>
      <c r="I562" s="758">
        <v>48028605</v>
      </c>
      <c r="J562" s="732" t="s">
        <v>328</v>
      </c>
      <c r="K562" s="760"/>
      <c r="L562" s="761"/>
    </row>
    <row r="563" spans="1:12" s="732" customFormat="1" ht="15">
      <c r="A563" s="753"/>
      <c r="B563" s="776" t="s">
        <v>1399</v>
      </c>
      <c r="C563" s="754"/>
      <c r="D563" s="754"/>
      <c r="E563" s="755" t="s">
        <v>1587</v>
      </c>
      <c r="F563" s="754"/>
      <c r="G563" s="756">
        <f>57179147-1</f>
        <v>57179146</v>
      </c>
      <c r="H563" s="757"/>
      <c r="I563" s="758">
        <v>50580557</v>
      </c>
      <c r="J563" s="732" t="s">
        <v>665</v>
      </c>
      <c r="K563" s="760"/>
      <c r="L563" s="761"/>
    </row>
    <row r="564" spans="1:12" s="732" customFormat="1" ht="15">
      <c r="A564" s="753"/>
      <c r="B564" s="776" t="s">
        <v>1400</v>
      </c>
      <c r="C564" s="754"/>
      <c r="D564" s="754"/>
      <c r="E564" s="755" t="s">
        <v>1587</v>
      </c>
      <c r="F564" s="754"/>
      <c r="G564" s="756">
        <v>126931839</v>
      </c>
      <c r="H564" s="757"/>
      <c r="I564" s="758">
        <v>120030481</v>
      </c>
      <c r="J564" s="732" t="s">
        <v>329</v>
      </c>
      <c r="K564" s="760"/>
      <c r="L564" s="761"/>
    </row>
    <row r="565" spans="1:12" s="732" customFormat="1" ht="9" customHeight="1">
      <c r="A565" s="753"/>
      <c r="B565" s="776"/>
      <c r="C565" s="754"/>
      <c r="D565" s="754"/>
      <c r="E565" s="755"/>
      <c r="F565" s="754"/>
      <c r="G565" s="756"/>
      <c r="H565" s="757"/>
      <c r="I565" s="758"/>
      <c r="K565" s="760"/>
      <c r="L565" s="761"/>
    </row>
    <row r="566" spans="1:12" s="732" customFormat="1" ht="15.75" thickBot="1">
      <c r="A566" s="753"/>
      <c r="B566" s="795"/>
      <c r="C566" s="754"/>
      <c r="D566" s="754"/>
      <c r="E566" s="755"/>
      <c r="F566" s="754"/>
      <c r="G566" s="771">
        <f>SUM(G561:G564)</f>
        <v>553493899</v>
      </c>
      <c r="H566" s="757"/>
      <c r="I566" s="771">
        <f>SUM(I561:I564)</f>
        <v>451786275</v>
      </c>
      <c r="J566" s="852">
        <f>'Grap i&amp;E'!D9</f>
        <v>553493899</v>
      </c>
      <c r="K566" s="760">
        <f>J566-G566</f>
        <v>0</v>
      </c>
      <c r="L566" s="761"/>
    </row>
    <row r="567" spans="1:12" s="732" customFormat="1" ht="15.75" thickTop="1">
      <c r="A567" s="753"/>
      <c r="B567" s="795"/>
      <c r="C567" s="754"/>
      <c r="D567" s="754"/>
      <c r="E567" s="755"/>
      <c r="F567" s="754"/>
      <c r="G567" s="780"/>
      <c r="H567" s="757"/>
      <c r="I567" s="780"/>
      <c r="J567" s="852"/>
      <c r="K567" s="760"/>
      <c r="L567" s="761"/>
    </row>
    <row r="568" spans="1:12" s="732" customFormat="1" ht="15">
      <c r="A568" s="753"/>
      <c r="B568" s="795"/>
      <c r="C568" s="754"/>
      <c r="D568" s="754"/>
      <c r="E568" s="755"/>
      <c r="F568" s="754"/>
      <c r="G568" s="780"/>
      <c r="H568" s="757"/>
      <c r="I568" s="780"/>
      <c r="J568" s="852"/>
      <c r="K568" s="760"/>
      <c r="L568" s="761"/>
    </row>
    <row r="569" spans="1:12" s="732" customFormat="1" ht="15">
      <c r="A569" s="753"/>
      <c r="B569" s="795"/>
      <c r="C569" s="754"/>
      <c r="D569" s="754"/>
      <c r="E569" s="755"/>
      <c r="F569" s="754"/>
      <c r="G569" s="780"/>
      <c r="H569" s="757"/>
      <c r="I569" s="780"/>
      <c r="J569" s="852"/>
      <c r="K569" s="760"/>
      <c r="L569" s="761"/>
    </row>
    <row r="570" spans="1:12" s="732" customFormat="1" ht="15">
      <c r="A570" s="753"/>
      <c r="B570" s="795"/>
      <c r="C570" s="754"/>
      <c r="D570" s="754"/>
      <c r="E570" s="755"/>
      <c r="F570" s="754"/>
      <c r="G570" s="780"/>
      <c r="H570" s="757"/>
      <c r="I570" s="780"/>
      <c r="J570" s="852"/>
      <c r="K570" s="760"/>
      <c r="L570" s="761"/>
    </row>
    <row r="571" spans="1:12" s="732" customFormat="1" ht="15">
      <c r="A571" s="1271" t="s">
        <v>189</v>
      </c>
      <c r="B571" s="1271"/>
      <c r="C571" s="1271"/>
      <c r="D571" s="1271"/>
      <c r="E571" s="1271"/>
      <c r="F571" s="1271"/>
      <c r="G571" s="1271"/>
      <c r="H571" s="1271"/>
      <c r="I571" s="1271"/>
      <c r="K571" s="760"/>
      <c r="L571" s="761"/>
    </row>
    <row r="572" spans="1:12" s="732" customFormat="1" ht="15">
      <c r="A572" s="794"/>
      <c r="B572" s="794"/>
      <c r="C572" s="794"/>
      <c r="D572" s="794"/>
      <c r="E572" s="794"/>
      <c r="F572" s="794"/>
      <c r="G572" s="794"/>
      <c r="H572" s="794"/>
      <c r="I572" s="1175"/>
      <c r="K572" s="760"/>
      <c r="L572" s="761"/>
    </row>
    <row r="573" spans="1:12" s="732" customFormat="1" ht="15">
      <c r="A573" s="753">
        <v>18</v>
      </c>
      <c r="B573" s="795" t="s">
        <v>1402</v>
      </c>
      <c r="C573" s="754"/>
      <c r="D573" s="754"/>
      <c r="E573" s="755"/>
      <c r="F573" s="754"/>
      <c r="G573" s="756"/>
      <c r="H573" s="757"/>
      <c r="I573" s="754"/>
      <c r="J573" s="732" t="s">
        <v>330</v>
      </c>
      <c r="K573" s="760"/>
      <c r="L573" s="761"/>
    </row>
    <row r="574" spans="1:12" s="732" customFormat="1" ht="9" customHeight="1">
      <c r="A574" s="753"/>
      <c r="B574" s="795"/>
      <c r="C574" s="754"/>
      <c r="D574" s="754"/>
      <c r="E574" s="755"/>
      <c r="F574" s="754"/>
      <c r="G574" s="756"/>
      <c r="H574" s="757"/>
      <c r="I574" s="754"/>
      <c r="K574" s="760"/>
      <c r="L574" s="761"/>
    </row>
    <row r="575" spans="1:12" s="732" customFormat="1" ht="15">
      <c r="A575" s="753"/>
      <c r="B575" s="853" t="s">
        <v>1403</v>
      </c>
      <c r="C575" s="754"/>
      <c r="D575" s="754"/>
      <c r="E575" s="755"/>
      <c r="F575" s="754"/>
      <c r="G575" s="756">
        <v>106974956</v>
      </c>
      <c r="H575" s="757"/>
      <c r="I575" s="854">
        <v>81597848</v>
      </c>
      <c r="J575" s="732" t="s">
        <v>331</v>
      </c>
      <c r="K575" s="760"/>
      <c r="L575" s="761"/>
    </row>
    <row r="576" spans="1:12" s="732" customFormat="1" ht="15">
      <c r="A576" s="753"/>
      <c r="B576" s="853" t="s">
        <v>1225</v>
      </c>
      <c r="C576" s="754"/>
      <c r="D576" s="754"/>
      <c r="E576" s="755"/>
      <c r="F576" s="754"/>
      <c r="G576" s="777">
        <v>6111721</v>
      </c>
      <c r="H576" s="757"/>
      <c r="I576" s="854">
        <v>7293428</v>
      </c>
      <c r="J576" s="732" t="s">
        <v>479</v>
      </c>
      <c r="K576" s="760"/>
      <c r="L576" s="761"/>
    </row>
    <row r="577" spans="1:12" s="732" customFormat="1" ht="15">
      <c r="A577" s="753"/>
      <c r="B577" s="853" t="s">
        <v>970</v>
      </c>
      <c r="C577" s="754"/>
      <c r="D577" s="754"/>
      <c r="E577" s="755" t="s">
        <v>1587</v>
      </c>
      <c r="F577" s="754"/>
      <c r="G577" s="756">
        <v>51729520</v>
      </c>
      <c r="H577" s="757"/>
      <c r="I577" s="854">
        <v>34614842</v>
      </c>
      <c r="J577" s="732" t="s">
        <v>332</v>
      </c>
      <c r="K577" s="760"/>
      <c r="L577" s="761"/>
    </row>
    <row r="578" spans="1:12" s="732" customFormat="1" ht="15">
      <c r="A578" s="753"/>
      <c r="B578" s="853" t="s">
        <v>1404</v>
      </c>
      <c r="C578" s="754"/>
      <c r="D578" s="754"/>
      <c r="E578" s="755"/>
      <c r="F578" s="754"/>
      <c r="G578" s="777">
        <v>1888920</v>
      </c>
      <c r="H578" s="757"/>
      <c r="I578" s="836">
        <v>0</v>
      </c>
      <c r="J578" s="732" t="s">
        <v>333</v>
      </c>
      <c r="K578" s="760"/>
      <c r="L578" s="761"/>
    </row>
    <row r="579" spans="1:12" s="732" customFormat="1" ht="15">
      <c r="A579" s="753"/>
      <c r="B579" s="853" t="s">
        <v>1406</v>
      </c>
      <c r="C579" s="754"/>
      <c r="D579" s="754"/>
      <c r="E579" s="755" t="s">
        <v>1587</v>
      </c>
      <c r="F579" s="754"/>
      <c r="G579" s="777">
        <v>500000</v>
      </c>
      <c r="H579" s="757"/>
      <c r="I579" s="756">
        <v>500000</v>
      </c>
      <c r="J579" s="732" t="s">
        <v>334</v>
      </c>
      <c r="K579" s="760"/>
      <c r="L579" s="761"/>
    </row>
    <row r="580" spans="1:12" s="732" customFormat="1" ht="15">
      <c r="A580" s="753"/>
      <c r="B580" s="853" t="s">
        <v>607</v>
      </c>
      <c r="C580" s="754"/>
      <c r="D580" s="754"/>
      <c r="E580" s="755"/>
      <c r="F580" s="754"/>
      <c r="G580" s="777">
        <v>321230</v>
      </c>
      <c r="H580" s="757"/>
      <c r="I580" s="836">
        <v>0</v>
      </c>
      <c r="K580" s="760"/>
      <c r="L580" s="761"/>
    </row>
    <row r="581" spans="1:12" s="732" customFormat="1" ht="15">
      <c r="A581" s="753"/>
      <c r="B581" s="853" t="s">
        <v>648</v>
      </c>
      <c r="C581" s="754"/>
      <c r="D581" s="754"/>
      <c r="E581" s="755"/>
      <c r="F581" s="754"/>
      <c r="G581" s="777">
        <v>5869354</v>
      </c>
      <c r="H581" s="757"/>
      <c r="I581" s="836">
        <v>2493317</v>
      </c>
      <c r="K581" s="760"/>
      <c r="L581" s="761"/>
    </row>
    <row r="582" spans="1:12" s="732" customFormat="1" ht="15">
      <c r="A582" s="753"/>
      <c r="B582" s="853" t="s">
        <v>649</v>
      </c>
      <c r="C582" s="754"/>
      <c r="D582" s="754"/>
      <c r="E582" s="755"/>
      <c r="F582" s="754"/>
      <c r="G582" s="777">
        <v>1412282</v>
      </c>
      <c r="H582" s="757"/>
      <c r="I582" s="836">
        <v>4261395</v>
      </c>
      <c r="K582" s="760"/>
      <c r="L582" s="761"/>
    </row>
    <row r="583" spans="1:12" s="732" customFormat="1" ht="15">
      <c r="A583" s="753"/>
      <c r="B583" s="853" t="s">
        <v>650</v>
      </c>
      <c r="C583" s="754"/>
      <c r="D583" s="754"/>
      <c r="E583" s="755"/>
      <c r="F583" s="754"/>
      <c r="G583" s="777">
        <v>160287</v>
      </c>
      <c r="H583" s="757"/>
      <c r="I583" s="836">
        <v>804607</v>
      </c>
      <c r="K583" s="760"/>
      <c r="L583" s="761"/>
    </row>
    <row r="584" spans="1:12" s="732" customFormat="1" ht="15">
      <c r="A584" s="753"/>
      <c r="B584" s="853" t="s">
        <v>651</v>
      </c>
      <c r="C584" s="754"/>
      <c r="D584" s="754"/>
      <c r="E584" s="755"/>
      <c r="F584" s="754"/>
      <c r="G584" s="777">
        <v>4470994</v>
      </c>
      <c r="H584" s="757"/>
      <c r="I584" s="836">
        <v>629006</v>
      </c>
      <c r="K584" s="760"/>
      <c r="L584" s="761"/>
    </row>
    <row r="585" spans="1:12" s="732" customFormat="1" ht="15">
      <c r="A585" s="753"/>
      <c r="B585" s="853" t="s">
        <v>652</v>
      </c>
      <c r="C585" s="754"/>
      <c r="D585" s="754"/>
      <c r="E585" s="755"/>
      <c r="F585" s="754"/>
      <c r="G585" s="777">
        <v>13375220</v>
      </c>
      <c r="H585" s="757"/>
      <c r="I585" s="836">
        <v>0</v>
      </c>
      <c r="K585" s="760"/>
      <c r="L585" s="761"/>
    </row>
    <row r="586" spans="1:12" s="732" customFormat="1" ht="15">
      <c r="A586" s="753"/>
      <c r="B586" s="853" t="s">
        <v>653</v>
      </c>
      <c r="C586" s="754"/>
      <c r="D586" s="754"/>
      <c r="E586" s="755"/>
      <c r="F586" s="754"/>
      <c r="G586" s="777">
        <v>1619856</v>
      </c>
      <c r="H586" s="757"/>
      <c r="I586" s="836">
        <v>80145</v>
      </c>
      <c r="K586" s="760"/>
      <c r="L586" s="761"/>
    </row>
    <row r="587" spans="1:12" s="732" customFormat="1" ht="15">
      <c r="A587" s="753"/>
      <c r="B587" s="853" t="s">
        <v>1095</v>
      </c>
      <c r="C587" s="754"/>
      <c r="D587" s="754"/>
      <c r="E587" s="755"/>
      <c r="F587" s="754"/>
      <c r="G587" s="777">
        <v>1673128</v>
      </c>
      <c r="H587" s="757"/>
      <c r="I587" s="854">
        <v>3659975</v>
      </c>
      <c r="J587" s="732" t="s">
        <v>336</v>
      </c>
      <c r="K587" s="760"/>
      <c r="L587" s="761"/>
    </row>
    <row r="588" spans="1:12" s="732" customFormat="1" ht="15">
      <c r="A588" s="753"/>
      <c r="B588" s="853" t="s">
        <v>1408</v>
      </c>
      <c r="C588" s="754"/>
      <c r="D588" s="754"/>
      <c r="E588" s="755"/>
      <c r="F588" s="754"/>
      <c r="G588" s="777">
        <v>69798</v>
      </c>
      <c r="H588" s="757"/>
      <c r="I588" s="854">
        <f>128071+1</f>
        <v>128072</v>
      </c>
      <c r="J588" s="732" t="s">
        <v>335</v>
      </c>
      <c r="K588" s="760"/>
      <c r="L588" s="761"/>
    </row>
    <row r="589" spans="1:12" s="732" customFormat="1" ht="15">
      <c r="A589" s="753"/>
      <c r="B589" s="853" t="s">
        <v>1226</v>
      </c>
      <c r="C589" s="754"/>
      <c r="D589" s="754"/>
      <c r="E589" s="755"/>
      <c r="F589" s="754"/>
      <c r="G589" s="777">
        <v>1360564</v>
      </c>
      <c r="H589" s="757"/>
      <c r="I589" s="777" t="s">
        <v>957</v>
      </c>
      <c r="J589" s="732" t="s">
        <v>337</v>
      </c>
      <c r="K589" s="760"/>
      <c r="L589" s="761"/>
    </row>
    <row r="590" spans="1:12" s="732" customFormat="1" ht="15">
      <c r="A590" s="753"/>
      <c r="B590" s="853" t="s">
        <v>976</v>
      </c>
      <c r="C590" s="754"/>
      <c r="D590" s="754"/>
      <c r="E590" s="755"/>
      <c r="F590" s="754"/>
      <c r="G590" s="777" t="s">
        <v>957</v>
      </c>
      <c r="H590" s="757"/>
      <c r="I590" s="777" t="s">
        <v>957</v>
      </c>
      <c r="K590" s="760"/>
      <c r="L590" s="761"/>
    </row>
    <row r="591" spans="1:12" s="732" customFormat="1" ht="15">
      <c r="A591" s="753"/>
      <c r="B591" s="853"/>
      <c r="C591" s="754"/>
      <c r="D591" s="754"/>
      <c r="E591" s="755"/>
      <c r="F591" s="754"/>
      <c r="G591" s="765"/>
      <c r="H591" s="757"/>
      <c r="I591" s="757">
        <v>0</v>
      </c>
      <c r="K591" s="760"/>
      <c r="L591" s="761"/>
    </row>
    <row r="592" spans="1:12" s="732" customFormat="1" ht="9" customHeight="1">
      <c r="A592" s="753"/>
      <c r="B592" s="853"/>
      <c r="C592" s="754"/>
      <c r="D592" s="754"/>
      <c r="E592" s="755"/>
      <c r="F592" s="754"/>
      <c r="G592" s="765"/>
      <c r="H592" s="757"/>
      <c r="I592" s="757"/>
      <c r="K592" s="760"/>
      <c r="L592" s="761"/>
    </row>
    <row r="593" spans="1:12" s="732" customFormat="1" ht="15.75" thickBot="1">
      <c r="A593" s="753"/>
      <c r="B593" s="795"/>
      <c r="C593" s="754"/>
      <c r="D593" s="754"/>
      <c r="E593" s="755"/>
      <c r="F593" s="754"/>
      <c r="G593" s="771">
        <f>SUM(G575:G591)</f>
        <v>197537830</v>
      </c>
      <c r="H593" s="855"/>
      <c r="I593" s="771">
        <f>SUM(I575:I590)</f>
        <v>136062635</v>
      </c>
      <c r="J593" s="852">
        <f>'Grap i&amp;E'!D16</f>
        <v>197537830</v>
      </c>
      <c r="K593" s="760">
        <f>'Grap i&amp;E'!F16</f>
        <v>136062635</v>
      </c>
      <c r="L593" s="761"/>
    </row>
    <row r="594" spans="1:12" s="732" customFormat="1" ht="9" customHeight="1" thickTop="1">
      <c r="A594" s="753"/>
      <c r="B594" s="797"/>
      <c r="C594" s="797"/>
      <c r="D594" s="797"/>
      <c r="E594" s="797"/>
      <c r="F594" s="797"/>
      <c r="G594" s="797"/>
      <c r="H594" s="797"/>
      <c r="I594" s="797"/>
      <c r="K594" s="760"/>
      <c r="L594" s="761"/>
    </row>
    <row r="595" spans="1:12" s="732" customFormat="1" ht="15">
      <c r="A595" s="753"/>
      <c r="B595" s="795" t="s">
        <v>374</v>
      </c>
      <c r="C595" s="754"/>
      <c r="D595" s="754"/>
      <c r="E595" s="755"/>
      <c r="F595" s="754"/>
      <c r="G595" s="756"/>
      <c r="H595" s="757"/>
      <c r="I595" s="754"/>
      <c r="J595" s="732" t="s">
        <v>348</v>
      </c>
      <c r="K595" s="760"/>
      <c r="L595" s="761"/>
    </row>
    <row r="596" spans="1:12" s="732" customFormat="1" ht="9" customHeight="1">
      <c r="A596" s="753"/>
      <c r="B596" s="795"/>
      <c r="C596" s="754"/>
      <c r="D596" s="754"/>
      <c r="E596" s="755"/>
      <c r="F596" s="754"/>
      <c r="G596" s="756"/>
      <c r="H596" s="757"/>
      <c r="I596" s="754"/>
      <c r="K596" s="760"/>
      <c r="L596" s="761"/>
    </row>
    <row r="597" spans="1:12" s="732" customFormat="1" ht="51" customHeight="1">
      <c r="A597" s="753"/>
      <c r="B597" s="1274" t="s">
        <v>844</v>
      </c>
      <c r="C597" s="1275"/>
      <c r="D597" s="1275"/>
      <c r="E597" s="1275"/>
      <c r="F597" s="856"/>
      <c r="G597" s="856"/>
      <c r="H597" s="856"/>
      <c r="I597" s="856"/>
      <c r="J597" s="732" t="s">
        <v>338</v>
      </c>
      <c r="K597" s="760"/>
      <c r="L597" s="761"/>
    </row>
    <row r="598" spans="1:12" s="732" customFormat="1" ht="15">
      <c r="A598" s="731"/>
      <c r="E598" s="748"/>
      <c r="G598" s="756"/>
      <c r="H598" s="743"/>
      <c r="I598" s="754"/>
      <c r="K598" s="760"/>
      <c r="L598" s="761"/>
    </row>
    <row r="599" spans="1:12" s="732" customFormat="1" ht="15">
      <c r="A599" s="753"/>
      <c r="B599" s="795" t="s">
        <v>375</v>
      </c>
      <c r="C599" s="754"/>
      <c r="D599" s="754"/>
      <c r="E599" s="755"/>
      <c r="F599" s="754"/>
      <c r="G599" s="756"/>
      <c r="H599" s="757"/>
      <c r="I599" s="754"/>
      <c r="J599" s="732" t="s">
        <v>461</v>
      </c>
      <c r="K599" s="760"/>
      <c r="L599" s="761"/>
    </row>
    <row r="600" spans="1:12" s="732" customFormat="1" ht="9" customHeight="1">
      <c r="A600" s="753"/>
      <c r="B600" s="795"/>
      <c r="C600" s="754"/>
      <c r="D600" s="754"/>
      <c r="E600" s="755"/>
      <c r="F600" s="754"/>
      <c r="G600" s="756"/>
      <c r="H600" s="757"/>
      <c r="I600" s="754"/>
      <c r="K600" s="760"/>
      <c r="L600" s="761"/>
    </row>
    <row r="601" spans="1:12" s="732" customFormat="1" ht="15">
      <c r="A601" s="753"/>
      <c r="B601" s="776" t="s">
        <v>309</v>
      </c>
      <c r="C601" s="754"/>
      <c r="D601" s="754"/>
      <c r="E601" s="755"/>
      <c r="F601" s="754"/>
      <c r="G601" s="836">
        <v>0</v>
      </c>
      <c r="H601" s="757"/>
      <c r="I601" s="836">
        <v>0</v>
      </c>
      <c r="K601" s="760"/>
      <c r="L601" s="761"/>
    </row>
    <row r="602" spans="1:12" s="732" customFormat="1" ht="15">
      <c r="A602" s="753"/>
      <c r="B602" s="776" t="s">
        <v>1414</v>
      </c>
      <c r="C602" s="754"/>
      <c r="D602" s="754"/>
      <c r="E602" s="755"/>
      <c r="F602" s="754"/>
      <c r="G602" s="756">
        <v>5516645</v>
      </c>
      <c r="H602" s="757"/>
      <c r="I602" s="836">
        <f>I576</f>
        <v>7293428</v>
      </c>
      <c r="K602" s="760"/>
      <c r="L602" s="761"/>
    </row>
    <row r="603" spans="1:12" s="732" customFormat="1" ht="15">
      <c r="A603" s="753"/>
      <c r="B603" s="776" t="s">
        <v>1415</v>
      </c>
      <c r="C603" s="754"/>
      <c r="D603" s="754"/>
      <c r="E603" s="755"/>
      <c r="F603" s="754"/>
      <c r="G603" s="765">
        <v>-6111721</v>
      </c>
      <c r="H603" s="757"/>
      <c r="I603" s="770">
        <f>-I602</f>
        <v>-7293428</v>
      </c>
      <c r="K603" s="760"/>
      <c r="L603" s="761"/>
    </row>
    <row r="604" spans="1:12" s="732" customFormat="1" ht="15">
      <c r="A604" s="753"/>
      <c r="B604" s="776" t="s">
        <v>833</v>
      </c>
      <c r="C604" s="754"/>
      <c r="D604" s="754"/>
      <c r="E604" s="755"/>
      <c r="F604" s="754"/>
      <c r="G604" s="765">
        <v>595076</v>
      </c>
      <c r="H604" s="757"/>
      <c r="I604" s="757">
        <v>0</v>
      </c>
      <c r="K604" s="760"/>
      <c r="L604" s="761"/>
    </row>
    <row r="605" spans="1:12" s="732" customFormat="1" ht="9" customHeight="1">
      <c r="A605" s="753"/>
      <c r="B605" s="776"/>
      <c r="C605" s="754"/>
      <c r="D605" s="754"/>
      <c r="E605" s="755"/>
      <c r="F605" s="754"/>
      <c r="G605" s="765"/>
      <c r="H605" s="757"/>
      <c r="I605" s="757"/>
      <c r="K605" s="760"/>
      <c r="L605" s="761"/>
    </row>
    <row r="606" spans="1:12" s="732" customFormat="1" ht="15.75" thickBot="1">
      <c r="A606" s="753"/>
      <c r="B606" s="776" t="s">
        <v>832</v>
      </c>
      <c r="C606" s="754"/>
      <c r="D606" s="754"/>
      <c r="E606" s="755"/>
      <c r="F606" s="754"/>
      <c r="G606" s="773">
        <f>SUM(G601:G604)</f>
        <v>0</v>
      </c>
      <c r="H606" s="781"/>
      <c r="I606" s="1166">
        <f>SUM(I601:I604)</f>
        <v>0</v>
      </c>
      <c r="J606" s="732" t="s">
        <v>478</v>
      </c>
      <c r="K606" s="760"/>
      <c r="L606" s="761"/>
    </row>
    <row r="607" spans="1:12" s="732" customFormat="1" ht="9" customHeight="1" thickTop="1">
      <c r="A607" s="799"/>
      <c r="J607" s="732" t="s">
        <v>461</v>
      </c>
      <c r="K607" s="760"/>
      <c r="L607" s="761"/>
    </row>
    <row r="608" spans="1:12" s="732" customFormat="1" ht="45" customHeight="1">
      <c r="A608" s="753"/>
      <c r="B608" s="1282" t="s">
        <v>1227</v>
      </c>
      <c r="C608" s="1282"/>
      <c r="D608" s="1282"/>
      <c r="E608" s="1282"/>
      <c r="F608" s="856"/>
      <c r="G608" s="856"/>
      <c r="H608" s="856"/>
      <c r="I608" s="856"/>
      <c r="K608" s="760"/>
      <c r="L608" s="761"/>
    </row>
    <row r="609" spans="1:12" s="732" customFormat="1" ht="9" customHeight="1">
      <c r="A609" s="794"/>
      <c r="B609" s="794"/>
      <c r="C609" s="794"/>
      <c r="D609" s="794"/>
      <c r="E609" s="794"/>
      <c r="F609" s="794"/>
      <c r="G609" s="794"/>
      <c r="H609" s="794"/>
      <c r="I609" s="1175"/>
      <c r="K609" s="760"/>
      <c r="L609" s="761"/>
    </row>
    <row r="610" spans="1:12" s="732" customFormat="1" ht="15">
      <c r="A610" s="753"/>
      <c r="B610" s="795" t="s">
        <v>376</v>
      </c>
      <c r="C610" s="754"/>
      <c r="D610" s="754"/>
      <c r="E610" s="755"/>
      <c r="F610" s="754"/>
      <c r="G610" s="756"/>
      <c r="H610" s="757"/>
      <c r="I610" s="754"/>
      <c r="K610" s="760" t="s">
        <v>541</v>
      </c>
      <c r="L610" s="761"/>
    </row>
    <row r="611" spans="1:9" s="732" customFormat="1" ht="9" customHeight="1">
      <c r="A611" s="753"/>
      <c r="B611" s="776"/>
      <c r="C611" s="754"/>
      <c r="D611" s="754"/>
      <c r="E611" s="755"/>
      <c r="F611" s="754"/>
      <c r="G611" s="756"/>
      <c r="H611" s="757"/>
      <c r="I611" s="754"/>
    </row>
    <row r="612" spans="1:12" s="732" customFormat="1" ht="15">
      <c r="A612" s="753"/>
      <c r="B612" s="776" t="s">
        <v>309</v>
      </c>
      <c r="C612" s="754"/>
      <c r="D612" s="754"/>
      <c r="E612" s="755"/>
      <c r="F612" s="754"/>
      <c r="G612" s="756">
        <f>I617</f>
        <v>15435427</v>
      </c>
      <c r="H612" s="757"/>
      <c r="I612" s="756">
        <v>2988843</v>
      </c>
      <c r="K612" s="760"/>
      <c r="L612" s="761"/>
    </row>
    <row r="613" spans="1:12" s="732" customFormat="1" ht="15">
      <c r="A613" s="753"/>
      <c r="B613" s="776" t="s">
        <v>1419</v>
      </c>
      <c r="C613" s="754"/>
      <c r="D613" s="754"/>
      <c r="E613" s="755"/>
      <c r="F613" s="754"/>
      <c r="G613" s="756">
        <v>41471000</v>
      </c>
      <c r="H613" s="757"/>
      <c r="I613" s="756">
        <v>47061426</v>
      </c>
      <c r="K613" s="760">
        <f>G195</f>
        <v>15694726</v>
      </c>
      <c r="L613" s="761">
        <f>I211</f>
        <v>32477811</v>
      </c>
    </row>
    <row r="614" spans="1:12" s="732" customFormat="1" ht="15">
      <c r="A614" s="753"/>
      <c r="B614" s="776" t="s">
        <v>1415</v>
      </c>
      <c r="C614" s="754"/>
      <c r="D614" s="754"/>
      <c r="E614" s="755"/>
      <c r="F614" s="754"/>
      <c r="G614" s="765">
        <f>-51729520</f>
        <v>-51729520</v>
      </c>
      <c r="H614" s="757"/>
      <c r="I614" s="765">
        <v>-30635806</v>
      </c>
      <c r="K614" s="760"/>
      <c r="L614" s="761"/>
    </row>
    <row r="615" spans="1:12" s="732" customFormat="1" ht="15">
      <c r="A615" s="753"/>
      <c r="B615" s="776" t="s">
        <v>834</v>
      </c>
      <c r="C615" s="754"/>
      <c r="D615" s="754"/>
      <c r="E615" s="755"/>
      <c r="F615" s="754"/>
      <c r="G615" s="757">
        <v>0</v>
      </c>
      <c r="H615" s="757"/>
      <c r="I615" s="777">
        <v>-3979036</v>
      </c>
      <c r="K615" s="760"/>
      <c r="L615" s="761"/>
    </row>
    <row r="616" spans="1:12" s="732" customFormat="1" ht="9" customHeight="1">
      <c r="A616" s="753"/>
      <c r="B616" s="776"/>
      <c r="C616" s="754"/>
      <c r="D616" s="754"/>
      <c r="E616" s="755"/>
      <c r="F616" s="754"/>
      <c r="G616" s="765"/>
      <c r="H616" s="757"/>
      <c r="I616" s="765"/>
      <c r="K616" s="760">
        <v>0</v>
      </c>
      <c r="L616" s="761"/>
    </row>
    <row r="617" spans="1:12" s="732" customFormat="1" ht="15.75" thickBot="1">
      <c r="A617" s="753"/>
      <c r="B617" s="776" t="s">
        <v>973</v>
      </c>
      <c r="C617" s="754"/>
      <c r="D617" s="754"/>
      <c r="E617" s="755"/>
      <c r="F617" s="754"/>
      <c r="G617" s="771">
        <f>SUM(G612:G616)</f>
        <v>5176907</v>
      </c>
      <c r="H617" s="781"/>
      <c r="I617" s="771">
        <f>SUM(I612:I616)</f>
        <v>15435427</v>
      </c>
      <c r="J617" s="732" t="s">
        <v>475</v>
      </c>
      <c r="K617" s="760">
        <f>G617</f>
        <v>5176907</v>
      </c>
      <c r="L617" s="761">
        <v>19414463</v>
      </c>
    </row>
    <row r="618" spans="1:12" s="732" customFormat="1" ht="9" customHeight="1" thickTop="1">
      <c r="A618" s="753"/>
      <c r="B618" s="776"/>
      <c r="C618" s="754"/>
      <c r="D618" s="754"/>
      <c r="E618" s="755"/>
      <c r="F618" s="754"/>
      <c r="G618" s="756"/>
      <c r="H618" s="757"/>
      <c r="I618" s="754"/>
      <c r="K618" s="760">
        <f>G625</f>
        <v>2295010</v>
      </c>
      <c r="L618" s="761">
        <v>4183930</v>
      </c>
    </row>
    <row r="619" spans="1:12" s="732" customFormat="1" ht="15">
      <c r="A619" s="753"/>
      <c r="B619" s="795" t="s">
        <v>1228</v>
      </c>
      <c r="C619" s="754"/>
      <c r="D619" s="754"/>
      <c r="E619" s="755"/>
      <c r="F619" s="754"/>
      <c r="G619" s="756"/>
      <c r="H619" s="757"/>
      <c r="I619" s="754"/>
      <c r="K619" s="760">
        <f>G647</f>
        <v>2394853</v>
      </c>
      <c r="L619" s="761">
        <v>11064902</v>
      </c>
    </row>
    <row r="620" spans="1:12" s="732" customFormat="1" ht="9.75" customHeight="1">
      <c r="A620" s="753"/>
      <c r="B620" s="776"/>
      <c r="C620" s="754"/>
      <c r="D620" s="754"/>
      <c r="E620" s="755"/>
      <c r="F620" s="754"/>
      <c r="G620" s="756"/>
      <c r="H620" s="757"/>
      <c r="I620" s="754"/>
      <c r="K620" s="760">
        <f>G706</f>
        <v>473287</v>
      </c>
      <c r="L620" s="761">
        <v>575202</v>
      </c>
    </row>
    <row r="621" spans="1:12" s="732" customFormat="1" ht="15">
      <c r="A621" s="753"/>
      <c r="B621" s="776" t="s">
        <v>309</v>
      </c>
      <c r="C621" s="754"/>
      <c r="D621" s="754"/>
      <c r="E621" s="755"/>
      <c r="F621" s="754"/>
      <c r="G621" s="756">
        <f>I625</f>
        <v>4183930</v>
      </c>
      <c r="H621" s="757"/>
      <c r="I621" s="758">
        <v>1848567</v>
      </c>
      <c r="K621" s="760">
        <f>G716</f>
        <v>470609</v>
      </c>
      <c r="L621" s="761">
        <v>440407</v>
      </c>
    </row>
    <row r="622" spans="1:12" s="732" customFormat="1" ht="15">
      <c r="A622" s="753"/>
      <c r="B622" s="776" t="s">
        <v>544</v>
      </c>
      <c r="C622" s="754"/>
      <c r="D622" s="754"/>
      <c r="E622" s="755"/>
      <c r="F622" s="754"/>
      <c r="G622" s="777" t="s">
        <v>957</v>
      </c>
      <c r="H622" s="757"/>
      <c r="I622" s="858">
        <v>2335363</v>
      </c>
      <c r="K622" s="760">
        <f>G726</f>
        <v>594510</v>
      </c>
      <c r="L622" s="761">
        <v>824528</v>
      </c>
    </row>
    <row r="623" spans="1:12" s="732" customFormat="1" ht="15">
      <c r="A623" s="753"/>
      <c r="B623" s="776" t="s">
        <v>1415</v>
      </c>
      <c r="C623" s="754"/>
      <c r="D623" s="754"/>
      <c r="E623" s="755"/>
      <c r="F623" s="754"/>
      <c r="G623" s="765">
        <v>-1888920</v>
      </c>
      <c r="H623" s="757"/>
      <c r="I623" s="777" t="s">
        <v>957</v>
      </c>
      <c r="K623" s="760">
        <f>G743</f>
        <v>78770</v>
      </c>
      <c r="L623" s="761">
        <v>28326</v>
      </c>
    </row>
    <row r="624" spans="1:12" s="732" customFormat="1" ht="9" customHeight="1">
      <c r="A624" s="753"/>
      <c r="B624" s="776"/>
      <c r="C624" s="754"/>
      <c r="D624" s="754"/>
      <c r="E624" s="755"/>
      <c r="F624" s="754"/>
      <c r="G624" s="765"/>
      <c r="H624" s="757"/>
      <c r="I624" s="765"/>
      <c r="K624" s="760"/>
      <c r="L624" s="761"/>
    </row>
    <row r="625" spans="1:12" s="732" customFormat="1" ht="15.75" thickBot="1">
      <c r="A625" s="753"/>
      <c r="B625" s="776" t="s">
        <v>973</v>
      </c>
      <c r="C625" s="754"/>
      <c r="D625" s="754"/>
      <c r="E625" s="755"/>
      <c r="F625" s="754"/>
      <c r="G625" s="771">
        <f>SUM(G621:G624)</f>
        <v>2295010</v>
      </c>
      <c r="H625" s="757"/>
      <c r="I625" s="779">
        <v>4183930</v>
      </c>
      <c r="J625" s="732" t="s">
        <v>476</v>
      </c>
      <c r="K625" s="760">
        <f>SUM(K616:K624)</f>
        <v>11483946</v>
      </c>
      <c r="L625" s="761">
        <f>SUM(L617:L623)</f>
        <v>36531758</v>
      </c>
    </row>
    <row r="626" spans="1:12" s="732" customFormat="1" ht="9" customHeight="1" thickTop="1">
      <c r="A626" s="753"/>
      <c r="B626" s="776"/>
      <c r="C626" s="754"/>
      <c r="D626" s="754"/>
      <c r="E626" s="755"/>
      <c r="F626" s="754"/>
      <c r="G626" s="780"/>
      <c r="H626" s="757"/>
      <c r="I626" s="757"/>
      <c r="K626" s="760">
        <f>K613-K625</f>
        <v>4210780</v>
      </c>
      <c r="L626" s="761"/>
    </row>
    <row r="627" spans="1:12" s="732" customFormat="1" ht="15">
      <c r="A627" s="753"/>
      <c r="B627" s="1273" t="s">
        <v>310</v>
      </c>
      <c r="C627" s="1273"/>
      <c r="D627" s="1273"/>
      <c r="E627" s="1273"/>
      <c r="F627" s="1273"/>
      <c r="G627" s="1273"/>
      <c r="H627" s="1273"/>
      <c r="I627" s="1273"/>
      <c r="K627" s="760"/>
      <c r="L627" s="761"/>
    </row>
    <row r="628" spans="1:12" s="732" customFormat="1" ht="9" customHeight="1">
      <c r="A628" s="753"/>
      <c r="B628" s="776"/>
      <c r="C628" s="776"/>
      <c r="D628" s="776"/>
      <c r="E628" s="776"/>
      <c r="F628" s="776"/>
      <c r="G628" s="776"/>
      <c r="H628" s="776"/>
      <c r="I628" s="776"/>
      <c r="K628" s="760"/>
      <c r="L628" s="761"/>
    </row>
    <row r="629" spans="1:12" s="732" customFormat="1" ht="15">
      <c r="A629" s="753"/>
      <c r="B629" s="795" t="s">
        <v>377</v>
      </c>
      <c r="C629" s="754"/>
      <c r="D629" s="754"/>
      <c r="E629" s="755"/>
      <c r="F629" s="754"/>
      <c r="G629" s="756"/>
      <c r="H629" s="757"/>
      <c r="I629" s="754"/>
      <c r="K629" s="760"/>
      <c r="L629" s="761"/>
    </row>
    <row r="630" spans="1:12" s="732" customFormat="1" ht="9" customHeight="1">
      <c r="A630" s="753"/>
      <c r="B630" s="776"/>
      <c r="C630" s="754"/>
      <c r="D630" s="754"/>
      <c r="E630" s="755"/>
      <c r="F630" s="754"/>
      <c r="G630" s="756"/>
      <c r="H630" s="757"/>
      <c r="I630" s="754"/>
      <c r="K630" s="760"/>
      <c r="L630" s="761"/>
    </row>
    <row r="631" spans="1:12" s="732" customFormat="1" ht="15">
      <c r="A631" s="753"/>
      <c r="B631" s="776" t="s">
        <v>309</v>
      </c>
      <c r="C631" s="754"/>
      <c r="D631" s="754"/>
      <c r="E631" s="755"/>
      <c r="F631" s="754"/>
      <c r="G631" s="777" t="s">
        <v>957</v>
      </c>
      <c r="H631" s="757"/>
      <c r="I631" s="777" t="s">
        <v>957</v>
      </c>
      <c r="K631" s="760"/>
      <c r="L631" s="761"/>
    </row>
    <row r="632" spans="1:12" s="732" customFormat="1" ht="15">
      <c r="A632" s="753"/>
      <c r="B632" s="776" t="s">
        <v>1419</v>
      </c>
      <c r="C632" s="754"/>
      <c r="D632" s="754"/>
      <c r="E632" s="755"/>
      <c r="F632" s="754"/>
      <c r="G632" s="777">
        <v>500000</v>
      </c>
      <c r="H632" s="757"/>
      <c r="I632" s="756">
        <v>500000</v>
      </c>
      <c r="K632" s="760"/>
      <c r="L632" s="761"/>
    </row>
    <row r="633" spans="1:12" s="732" customFormat="1" ht="15">
      <c r="A633" s="753"/>
      <c r="B633" s="776" t="s">
        <v>1415</v>
      </c>
      <c r="C633" s="754"/>
      <c r="D633" s="754"/>
      <c r="E633" s="755"/>
      <c r="F633" s="754"/>
      <c r="G633" s="811">
        <v>-500000</v>
      </c>
      <c r="H633" s="757"/>
      <c r="I633" s="765">
        <v>-500000</v>
      </c>
      <c r="K633" s="760"/>
      <c r="L633" s="761"/>
    </row>
    <row r="634" spans="1:12" s="732" customFormat="1" ht="9" customHeight="1">
      <c r="A634" s="753"/>
      <c r="B634" s="776"/>
      <c r="C634" s="754"/>
      <c r="D634" s="754"/>
      <c r="E634" s="755"/>
      <c r="F634" s="754"/>
      <c r="G634" s="811"/>
      <c r="H634" s="757"/>
      <c r="I634" s="765"/>
      <c r="K634" s="760"/>
      <c r="L634" s="761"/>
    </row>
    <row r="635" spans="1:12" s="732" customFormat="1" ht="15.75" thickBot="1">
      <c r="A635" s="753"/>
      <c r="B635" s="776" t="s">
        <v>973</v>
      </c>
      <c r="C635" s="754"/>
      <c r="D635" s="754"/>
      <c r="E635" s="755"/>
      <c r="F635" s="754"/>
      <c r="G635" s="1104">
        <f>SUM(G632:G634)</f>
        <v>0</v>
      </c>
      <c r="H635" s="757"/>
      <c r="I635" s="859">
        <f>SUM(I632:I634)</f>
        <v>0</v>
      </c>
      <c r="J635" s="732" t="s">
        <v>477</v>
      </c>
      <c r="K635" s="760"/>
      <c r="L635" s="761"/>
    </row>
    <row r="636" spans="1:12" s="732" customFormat="1" ht="9" customHeight="1" thickTop="1">
      <c r="A636" s="753"/>
      <c r="B636" s="1273"/>
      <c r="C636" s="1273"/>
      <c r="D636" s="776"/>
      <c r="E636" s="755"/>
      <c r="F636" s="754"/>
      <c r="G636" s="756"/>
      <c r="H636" s="757"/>
      <c r="I636" s="754"/>
      <c r="K636" s="760"/>
      <c r="L636" s="761"/>
    </row>
    <row r="637" spans="1:12" s="732" customFormat="1" ht="30.75" customHeight="1">
      <c r="A637" s="753"/>
      <c r="B637" s="1274" t="s">
        <v>17</v>
      </c>
      <c r="C637" s="1275"/>
      <c r="D637" s="1275"/>
      <c r="E637" s="1275"/>
      <c r="F637" s="776"/>
      <c r="G637" s="776"/>
      <c r="H637" s="776"/>
      <c r="I637" s="776"/>
      <c r="K637" s="760"/>
      <c r="L637" s="761"/>
    </row>
    <row r="638" ht="9" customHeight="1"/>
    <row r="639" spans="1:12" s="732" customFormat="1" ht="15">
      <c r="A639" s="753"/>
      <c r="B639" s="795" t="s">
        <v>654</v>
      </c>
      <c r="C639" s="754"/>
      <c r="D639" s="754"/>
      <c r="E639" s="755"/>
      <c r="F639" s="754"/>
      <c r="G639" s="756"/>
      <c r="H639" s="757"/>
      <c r="I639" s="754"/>
      <c r="K639" s="760"/>
      <c r="L639" s="761"/>
    </row>
    <row r="640" spans="1:12" s="732" customFormat="1" ht="9" customHeight="1">
      <c r="A640" s="753"/>
      <c r="B640" s="776"/>
      <c r="C640" s="754"/>
      <c r="D640" s="754"/>
      <c r="E640" s="755"/>
      <c r="F640" s="754"/>
      <c r="G640" s="756"/>
      <c r="H640" s="757"/>
      <c r="I640" s="754"/>
      <c r="K640" s="760"/>
      <c r="L640" s="761"/>
    </row>
    <row r="641" spans="1:12" s="732" customFormat="1" ht="15">
      <c r="A641" s="753"/>
      <c r="B641" s="776" t="s">
        <v>309</v>
      </c>
      <c r="C641" s="754"/>
      <c r="D641" s="754"/>
      <c r="E641" s="755"/>
      <c r="F641" s="754"/>
      <c r="G641" s="756">
        <f>I647</f>
        <v>6326572</v>
      </c>
      <c r="H641" s="757"/>
      <c r="I641" s="758">
        <v>4222889</v>
      </c>
      <c r="K641" s="760"/>
      <c r="L641" s="761"/>
    </row>
    <row r="642" spans="1:12" s="732" customFormat="1" ht="15">
      <c r="A642" s="753"/>
      <c r="B642" s="776" t="s">
        <v>1419</v>
      </c>
      <c r="C642" s="754"/>
      <c r="D642" s="754"/>
      <c r="E642" s="755"/>
      <c r="F642" s="754"/>
      <c r="G642" s="756">
        <v>3240000</v>
      </c>
      <c r="H642" s="757"/>
      <c r="I642" s="758">
        <v>4597000</v>
      </c>
      <c r="K642" s="760"/>
      <c r="L642" s="761"/>
    </row>
    <row r="643" spans="1:12" s="732" customFormat="1" ht="15">
      <c r="A643" s="753"/>
      <c r="B643" s="776" t="s">
        <v>1415</v>
      </c>
      <c r="C643" s="754"/>
      <c r="D643" s="754"/>
      <c r="E643" s="755"/>
      <c r="F643" s="754"/>
      <c r="G643" s="765">
        <v>-5869354</v>
      </c>
      <c r="H643" s="757"/>
      <c r="I643" s="765">
        <f>-2493317</f>
        <v>-2493317</v>
      </c>
      <c r="J643" s="743"/>
      <c r="K643" s="760"/>
      <c r="L643" s="761"/>
    </row>
    <row r="644" spans="1:12" s="732" customFormat="1" ht="15" hidden="1">
      <c r="A644" s="753"/>
      <c r="B644" s="776" t="s">
        <v>545</v>
      </c>
      <c r="C644" s="754"/>
      <c r="D644" s="754"/>
      <c r="E644" s="755"/>
      <c r="F644" s="754"/>
      <c r="G644" s="1105" t="s">
        <v>957</v>
      </c>
      <c r="H644" s="1100"/>
      <c r="I644" s="1105" t="s">
        <v>957</v>
      </c>
      <c r="K644" s="760"/>
      <c r="L644" s="761"/>
    </row>
    <row r="645" spans="1:12" s="732" customFormat="1" ht="15">
      <c r="A645" s="753"/>
      <c r="B645" s="776" t="s">
        <v>655</v>
      </c>
      <c r="C645" s="754"/>
      <c r="D645" s="754"/>
      <c r="E645" s="755"/>
      <c r="F645" s="754"/>
      <c r="G645" s="765">
        <f>-1302365</f>
        <v>-1302365</v>
      </c>
      <c r="H645" s="757"/>
      <c r="I645" s="757">
        <v>0</v>
      </c>
      <c r="K645" s="760"/>
      <c r="L645" s="761"/>
    </row>
    <row r="646" spans="1:12" s="732" customFormat="1" ht="9" customHeight="1">
      <c r="A646" s="753"/>
      <c r="B646" s="776"/>
      <c r="C646" s="754"/>
      <c r="D646" s="754"/>
      <c r="E646" s="755"/>
      <c r="F646" s="754"/>
      <c r="G646" s="765"/>
      <c r="H646" s="757"/>
      <c r="I646" s="757"/>
      <c r="K646" s="760"/>
      <c r="L646" s="761"/>
    </row>
    <row r="647" spans="1:12" s="732" customFormat="1" ht="15.75" thickBot="1">
      <c r="A647" s="753"/>
      <c r="B647" s="776" t="s">
        <v>973</v>
      </c>
      <c r="C647" s="754"/>
      <c r="D647" s="754"/>
      <c r="E647" s="755"/>
      <c r="F647" s="754"/>
      <c r="G647" s="779">
        <f>SUM(G641:G645)</f>
        <v>2394853</v>
      </c>
      <c r="H647" s="757"/>
      <c r="I647" s="779">
        <f>SUM(I641:I645)</f>
        <v>6326572</v>
      </c>
      <c r="K647" s="760"/>
      <c r="L647" s="761"/>
    </row>
    <row r="648" spans="1:12" s="732" customFormat="1" ht="9" customHeight="1" thickTop="1">
      <c r="A648" s="753"/>
      <c r="B648" s="776"/>
      <c r="C648" s="754"/>
      <c r="D648" s="754"/>
      <c r="E648" s="755"/>
      <c r="F648" s="754"/>
      <c r="G648" s="756"/>
      <c r="H648" s="757"/>
      <c r="I648" s="757"/>
      <c r="K648" s="760"/>
      <c r="L648" s="761"/>
    </row>
    <row r="649" spans="1:12" s="732" customFormat="1" ht="15">
      <c r="A649" s="753"/>
      <c r="B649" s="795" t="s">
        <v>656</v>
      </c>
      <c r="C649" s="754"/>
      <c r="D649" s="754"/>
      <c r="E649" s="755"/>
      <c r="F649" s="754"/>
      <c r="G649" s="756"/>
      <c r="H649" s="757"/>
      <c r="I649" s="754"/>
      <c r="K649" s="760"/>
      <c r="L649" s="761"/>
    </row>
    <row r="650" spans="1:12" s="732" customFormat="1" ht="9.75" customHeight="1">
      <c r="A650" s="753"/>
      <c r="B650" s="776"/>
      <c r="C650" s="754"/>
      <c r="D650" s="754"/>
      <c r="E650" s="755"/>
      <c r="F650" s="754"/>
      <c r="G650" s="756"/>
      <c r="H650" s="757"/>
      <c r="I650" s="754"/>
      <c r="K650" s="760"/>
      <c r="L650" s="761"/>
    </row>
    <row r="651" spans="1:12" s="732" customFormat="1" ht="15">
      <c r="A651" s="753"/>
      <c r="B651" s="776" t="s">
        <v>309</v>
      </c>
      <c r="C651" s="754"/>
      <c r="D651" s="754"/>
      <c r="E651" s="755"/>
      <c r="F651" s="754"/>
      <c r="G651" s="756">
        <f>I656</f>
        <v>1412283</v>
      </c>
      <c r="H651" s="757"/>
      <c r="I651" s="758">
        <v>5673678</v>
      </c>
      <c r="K651" s="760"/>
      <c r="L651" s="761"/>
    </row>
    <row r="652" spans="1:12" s="732" customFormat="1" ht="15" hidden="1">
      <c r="A652" s="753"/>
      <c r="B652" s="776" t="s">
        <v>1419</v>
      </c>
      <c r="C652" s="754"/>
      <c r="D652" s="754"/>
      <c r="E652" s="755"/>
      <c r="F652" s="754"/>
      <c r="G652" s="757">
        <v>0</v>
      </c>
      <c r="H652" s="757"/>
      <c r="I652" s="758"/>
      <c r="K652" s="760"/>
      <c r="L652" s="761"/>
    </row>
    <row r="653" spans="1:12" s="732" customFormat="1" ht="15">
      <c r="A653" s="753"/>
      <c r="B653" s="776" t="s">
        <v>1415</v>
      </c>
      <c r="C653" s="754"/>
      <c r="D653" s="754"/>
      <c r="E653" s="755"/>
      <c r="F653" s="754"/>
      <c r="G653" s="765">
        <f>-1412282-1</f>
        <v>-1412283</v>
      </c>
      <c r="H653" s="757"/>
      <c r="I653" s="765">
        <v>-4261395</v>
      </c>
      <c r="J653" s="743"/>
      <c r="K653" s="760"/>
      <c r="L653" s="761"/>
    </row>
    <row r="654" spans="1:12" s="732" customFormat="1" ht="15" hidden="1">
      <c r="A654" s="753"/>
      <c r="B654" s="776" t="s">
        <v>545</v>
      </c>
      <c r="C654" s="754"/>
      <c r="D654" s="754"/>
      <c r="E654" s="755"/>
      <c r="F654" s="754"/>
      <c r="G654" s="811" t="s">
        <v>957</v>
      </c>
      <c r="H654" s="757"/>
      <c r="I654" s="811" t="s">
        <v>957</v>
      </c>
      <c r="K654" s="760"/>
      <c r="L654" s="761"/>
    </row>
    <row r="655" spans="1:12" s="732" customFormat="1" ht="9" customHeight="1">
      <c r="A655" s="753"/>
      <c r="B655" s="776"/>
      <c r="C655" s="754"/>
      <c r="D655" s="754"/>
      <c r="E655" s="755"/>
      <c r="F655" s="754"/>
      <c r="G655" s="811"/>
      <c r="H655" s="757"/>
      <c r="I655" s="811"/>
      <c r="K655" s="760"/>
      <c r="L655" s="761"/>
    </row>
    <row r="656" spans="1:12" s="732" customFormat="1" ht="15.75" thickBot="1">
      <c r="A656" s="753"/>
      <c r="B656" s="776" t="s">
        <v>973</v>
      </c>
      <c r="C656" s="754"/>
      <c r="D656" s="754"/>
      <c r="E656" s="755"/>
      <c r="F656" s="754"/>
      <c r="G656" s="1106">
        <f>SUM(G651:G654)</f>
        <v>0</v>
      </c>
      <c r="H656" s="757"/>
      <c r="I656" s="779">
        <f>SUM(I651:I654)</f>
        <v>1412283</v>
      </c>
      <c r="K656" s="760"/>
      <c r="L656" s="761"/>
    </row>
    <row r="657" spans="1:12" s="732" customFormat="1" ht="9" customHeight="1" thickTop="1">
      <c r="A657" s="753"/>
      <c r="B657" s="776"/>
      <c r="C657" s="754"/>
      <c r="D657" s="754"/>
      <c r="E657" s="755"/>
      <c r="F657" s="754"/>
      <c r="G657" s="756"/>
      <c r="H657" s="757"/>
      <c r="I657" s="757"/>
      <c r="K657" s="760"/>
      <c r="L657" s="761"/>
    </row>
    <row r="658" spans="1:12" s="732" customFormat="1" ht="15">
      <c r="A658" s="753"/>
      <c r="B658" s="795" t="s">
        <v>657</v>
      </c>
      <c r="C658" s="754"/>
      <c r="D658" s="754"/>
      <c r="E658" s="755"/>
      <c r="F658" s="754"/>
      <c r="G658" s="756"/>
      <c r="H658" s="757"/>
      <c r="I658" s="754"/>
      <c r="K658" s="760"/>
      <c r="L658" s="761"/>
    </row>
    <row r="659" spans="1:12" s="732" customFormat="1" ht="9" customHeight="1">
      <c r="A659" s="753"/>
      <c r="B659" s="776"/>
      <c r="C659" s="754"/>
      <c r="D659" s="754"/>
      <c r="E659" s="755"/>
      <c r="F659" s="754"/>
      <c r="G659" s="756"/>
      <c r="H659" s="757"/>
      <c r="I659" s="754"/>
      <c r="K659" s="760"/>
      <c r="L659" s="761"/>
    </row>
    <row r="660" spans="1:12" s="732" customFormat="1" ht="15">
      <c r="A660" s="753"/>
      <c r="B660" s="776" t="s">
        <v>309</v>
      </c>
      <c r="C660" s="754"/>
      <c r="D660" s="754"/>
      <c r="E660" s="755"/>
      <c r="F660" s="754"/>
      <c r="G660" s="756">
        <f>I665</f>
        <v>160287</v>
      </c>
      <c r="H660" s="757"/>
      <c r="I660" s="758">
        <v>964894</v>
      </c>
      <c r="K660" s="760"/>
      <c r="L660" s="761"/>
    </row>
    <row r="661" spans="1:12" s="732" customFormat="1" ht="15">
      <c r="A661" s="753"/>
      <c r="B661" s="776" t="s">
        <v>1419</v>
      </c>
      <c r="C661" s="754"/>
      <c r="D661" s="754"/>
      <c r="E661" s="755"/>
      <c r="F661" s="754"/>
      <c r="G661" s="777" t="s">
        <v>957</v>
      </c>
      <c r="H661" s="757"/>
      <c r="I661" s="777" t="s">
        <v>957</v>
      </c>
      <c r="K661" s="760"/>
      <c r="L661" s="761"/>
    </row>
    <row r="662" spans="1:12" s="732" customFormat="1" ht="15">
      <c r="A662" s="753"/>
      <c r="B662" s="776" t="s">
        <v>1415</v>
      </c>
      <c r="C662" s="754"/>
      <c r="D662" s="754"/>
      <c r="E662" s="755"/>
      <c r="F662" s="754"/>
      <c r="G662" s="765">
        <f>-160287</f>
        <v>-160287</v>
      </c>
      <c r="H662" s="757"/>
      <c r="I662" s="765">
        <f>-804607</f>
        <v>-804607</v>
      </c>
      <c r="J662" s="743"/>
      <c r="K662" s="760"/>
      <c r="L662" s="761"/>
    </row>
    <row r="663" spans="1:12" s="732" customFormat="1" ht="15" hidden="1">
      <c r="A663" s="753"/>
      <c r="B663" s="776" t="s">
        <v>545</v>
      </c>
      <c r="C663" s="754"/>
      <c r="D663" s="754"/>
      <c r="E663" s="755"/>
      <c r="F663" s="754"/>
      <c r="G663" s="811" t="s">
        <v>957</v>
      </c>
      <c r="H663" s="757"/>
      <c r="I663" s="811" t="s">
        <v>957</v>
      </c>
      <c r="K663" s="760"/>
      <c r="L663" s="761"/>
    </row>
    <row r="664" ht="9" customHeight="1"/>
    <row r="665" spans="1:12" s="732" customFormat="1" ht="15.75" thickBot="1">
      <c r="A665" s="753"/>
      <c r="B665" s="776" t="s">
        <v>973</v>
      </c>
      <c r="C665" s="754"/>
      <c r="D665" s="754"/>
      <c r="E665" s="755"/>
      <c r="F665" s="754"/>
      <c r="G665" s="1106">
        <f>SUM(G660:G663)</f>
        <v>0</v>
      </c>
      <c r="H665" s="757"/>
      <c r="I665" s="1106">
        <f>SUM(I660:I663)</f>
        <v>160287</v>
      </c>
      <c r="K665" s="760"/>
      <c r="L665" s="761"/>
    </row>
    <row r="666" spans="1:12" s="732" customFormat="1" ht="15.75" thickTop="1">
      <c r="A666" s="753"/>
      <c r="B666" s="776"/>
      <c r="C666" s="754"/>
      <c r="D666" s="754"/>
      <c r="E666" s="755"/>
      <c r="F666" s="754"/>
      <c r="G666" s="1075"/>
      <c r="H666" s="757"/>
      <c r="I666" s="1069"/>
      <c r="K666" s="760"/>
      <c r="L666" s="761"/>
    </row>
    <row r="667" spans="1:12" s="732" customFormat="1" ht="15">
      <c r="A667" s="753"/>
      <c r="B667" s="776"/>
      <c r="C667" s="754"/>
      <c r="D667" s="754"/>
      <c r="E667" s="755"/>
      <c r="F667" s="754"/>
      <c r="G667" s="1075"/>
      <c r="H667" s="757"/>
      <c r="I667" s="1069"/>
      <c r="K667" s="760"/>
      <c r="L667" s="761"/>
    </row>
    <row r="668" spans="1:12" s="732" customFormat="1" ht="15">
      <c r="A668" s="753"/>
      <c r="B668" s="776"/>
      <c r="C668" s="754"/>
      <c r="D668" s="754"/>
      <c r="E668" s="755"/>
      <c r="F668" s="754"/>
      <c r="G668" s="1075"/>
      <c r="H668" s="757"/>
      <c r="I668" s="1069"/>
      <c r="K668" s="760"/>
      <c r="L668" s="761"/>
    </row>
    <row r="669" spans="1:12" s="732" customFormat="1" ht="15">
      <c r="A669" s="753"/>
      <c r="B669" s="776"/>
      <c r="C669" s="754"/>
      <c r="D669" s="754"/>
      <c r="E669" s="755"/>
      <c r="F669" s="754"/>
      <c r="G669" s="1075"/>
      <c r="H669" s="757"/>
      <c r="I669" s="1069"/>
      <c r="K669" s="760"/>
      <c r="L669" s="761"/>
    </row>
    <row r="670" spans="1:12" s="732" customFormat="1" ht="14.25" customHeight="1">
      <c r="A670" s="1271" t="s">
        <v>190</v>
      </c>
      <c r="B670" s="1271"/>
      <c r="C670" s="1271"/>
      <c r="D670" s="1271"/>
      <c r="E670" s="1271"/>
      <c r="F670" s="1271"/>
      <c r="G670" s="1271"/>
      <c r="H670" s="1271"/>
      <c r="I670" s="1271"/>
      <c r="K670" s="760"/>
      <c r="L670" s="761"/>
    </row>
    <row r="671" spans="1:12" s="732" customFormat="1" ht="14.25" customHeight="1">
      <c r="A671" s="794"/>
      <c r="B671" s="794"/>
      <c r="C671" s="794"/>
      <c r="D671" s="794"/>
      <c r="E671" s="794"/>
      <c r="F671" s="794"/>
      <c r="G671" s="794"/>
      <c r="H671" s="794"/>
      <c r="I671" s="794"/>
      <c r="K671" s="760"/>
      <c r="L671" s="761"/>
    </row>
    <row r="672" spans="1:12" s="732" customFormat="1" ht="15">
      <c r="A672" s="753"/>
      <c r="B672" s="795" t="s">
        <v>658</v>
      </c>
      <c r="C672" s="754"/>
      <c r="D672" s="754"/>
      <c r="E672" s="755"/>
      <c r="F672" s="754"/>
      <c r="G672" s="756"/>
      <c r="H672" s="757"/>
      <c r="I672" s="754"/>
      <c r="K672" s="760"/>
      <c r="L672" s="761"/>
    </row>
    <row r="673" spans="1:12" s="732" customFormat="1" ht="9" customHeight="1">
      <c r="A673" s="753"/>
      <c r="B673" s="776"/>
      <c r="C673" s="754"/>
      <c r="D673" s="754"/>
      <c r="E673" s="755"/>
      <c r="F673" s="754"/>
      <c r="G673" s="756"/>
      <c r="H673" s="757"/>
      <c r="I673" s="754"/>
      <c r="K673" s="760"/>
      <c r="L673" s="761"/>
    </row>
    <row r="674" spans="1:12" s="732" customFormat="1" ht="15">
      <c r="A674" s="753"/>
      <c r="B674" s="776" t="s">
        <v>309</v>
      </c>
      <c r="C674" s="754"/>
      <c r="D674" s="754"/>
      <c r="E674" s="755"/>
      <c r="F674" s="754"/>
      <c r="G674" s="756">
        <f>I679</f>
        <v>1470994</v>
      </c>
      <c r="H674" s="757"/>
      <c r="I674" s="1112">
        <v>0</v>
      </c>
      <c r="K674" s="760"/>
      <c r="L674" s="761"/>
    </row>
    <row r="675" spans="1:12" s="732" customFormat="1" ht="15">
      <c r="A675" s="753"/>
      <c r="B675" s="776" t="s">
        <v>1419</v>
      </c>
      <c r="C675" s="754"/>
      <c r="D675" s="754"/>
      <c r="E675" s="755"/>
      <c r="F675" s="754"/>
      <c r="G675" s="756">
        <v>3000000</v>
      </c>
      <c r="H675" s="757"/>
      <c r="I675" s="758">
        <v>2100000</v>
      </c>
      <c r="K675" s="760"/>
      <c r="L675" s="761"/>
    </row>
    <row r="676" spans="1:12" s="732" customFormat="1" ht="15">
      <c r="A676" s="753"/>
      <c r="B676" s="776" t="s">
        <v>1415</v>
      </c>
      <c r="C676" s="754"/>
      <c r="D676" s="754"/>
      <c r="E676" s="755"/>
      <c r="F676" s="754"/>
      <c r="G676" s="765">
        <f>-4470994</f>
        <v>-4470994</v>
      </c>
      <c r="H676" s="757"/>
      <c r="I676" s="765">
        <f>-629006</f>
        <v>-629006</v>
      </c>
      <c r="J676" s="743"/>
      <c r="K676" s="760"/>
      <c r="L676" s="761"/>
    </row>
    <row r="677" spans="1:12" s="732" customFormat="1" ht="15" hidden="1">
      <c r="A677" s="753"/>
      <c r="B677" s="776" t="s">
        <v>545</v>
      </c>
      <c r="C677" s="754"/>
      <c r="D677" s="754"/>
      <c r="E677" s="755"/>
      <c r="F677" s="754"/>
      <c r="G677" s="811" t="s">
        <v>957</v>
      </c>
      <c r="H677" s="757"/>
      <c r="I677" s="811" t="s">
        <v>957</v>
      </c>
      <c r="K677" s="760"/>
      <c r="L677" s="761"/>
    </row>
    <row r="678" ht="9" customHeight="1"/>
    <row r="679" spans="1:12" s="732" customFormat="1" ht="15.75" thickBot="1">
      <c r="A679" s="753"/>
      <c r="B679" s="776" t="s">
        <v>973</v>
      </c>
      <c r="C679" s="754"/>
      <c r="D679" s="754"/>
      <c r="E679" s="755"/>
      <c r="F679" s="754"/>
      <c r="G679" s="1106">
        <f>SUM(G674:G677)</f>
        <v>0</v>
      </c>
      <c r="H679" s="757"/>
      <c r="I679" s="779">
        <f>SUM(I674:I677)</f>
        <v>1470994</v>
      </c>
      <c r="K679" s="760"/>
      <c r="L679" s="761"/>
    </row>
    <row r="680" spans="1:12" s="732" customFormat="1" ht="9" customHeight="1" thickTop="1">
      <c r="A680" s="1271"/>
      <c r="B680" s="1271"/>
      <c r="C680" s="1271"/>
      <c r="D680" s="1271"/>
      <c r="E680" s="1271"/>
      <c r="F680" s="1271"/>
      <c r="G680" s="1271"/>
      <c r="H680" s="1271"/>
      <c r="I680" s="1271"/>
      <c r="K680" s="760"/>
      <c r="L680" s="761"/>
    </row>
    <row r="681" spans="1:12" s="732" customFormat="1" ht="15">
      <c r="A681" s="753"/>
      <c r="B681" s="795" t="s">
        <v>20</v>
      </c>
      <c r="C681" s="754"/>
      <c r="D681" s="754"/>
      <c r="E681" s="755"/>
      <c r="F681" s="754"/>
      <c r="G681" s="756"/>
      <c r="H681" s="757"/>
      <c r="I681" s="754"/>
      <c r="K681" s="760"/>
      <c r="L681" s="761"/>
    </row>
    <row r="682" spans="1:12" s="732" customFormat="1" ht="9" customHeight="1">
      <c r="A682" s="753"/>
      <c r="B682" s="776"/>
      <c r="C682" s="754"/>
      <c r="D682" s="754"/>
      <c r="E682" s="755"/>
      <c r="F682" s="754"/>
      <c r="G682" s="756"/>
      <c r="H682" s="757"/>
      <c r="I682" s="754"/>
      <c r="K682" s="760"/>
      <c r="L682" s="761"/>
    </row>
    <row r="683" spans="1:12" s="732" customFormat="1" ht="15">
      <c r="A683" s="1072"/>
      <c r="B683" s="1077" t="s">
        <v>309</v>
      </c>
      <c r="C683" s="1070"/>
      <c r="D683" s="1070"/>
      <c r="E683" s="1078"/>
      <c r="F683" s="1070"/>
      <c r="G683" s="836">
        <f>I688</f>
        <v>1619855</v>
      </c>
      <c r="H683" s="757"/>
      <c r="I683" s="754">
        <v>0</v>
      </c>
      <c r="K683" s="760"/>
      <c r="L683" s="761"/>
    </row>
    <row r="684" spans="1:12" s="732" customFormat="1" ht="15">
      <c r="A684" s="1072"/>
      <c r="B684" s="1077" t="s">
        <v>1419</v>
      </c>
      <c r="C684" s="1070"/>
      <c r="D684" s="1070"/>
      <c r="E684" s="1078"/>
      <c r="F684" s="1070"/>
      <c r="G684" s="754">
        <v>0</v>
      </c>
      <c r="H684" s="757"/>
      <c r="I684" s="754">
        <v>1700000</v>
      </c>
      <c r="K684" s="760"/>
      <c r="L684" s="761"/>
    </row>
    <row r="685" spans="1:12" s="732" customFormat="1" ht="15">
      <c r="A685" s="1072"/>
      <c r="B685" s="1077" t="s">
        <v>1415</v>
      </c>
      <c r="C685" s="1070"/>
      <c r="D685" s="1070"/>
      <c r="E685" s="1078"/>
      <c r="F685" s="1070"/>
      <c r="G685" s="770">
        <f>-1619856+1</f>
        <v>-1619855</v>
      </c>
      <c r="H685" s="757"/>
      <c r="I685" s="770">
        <f>-80145</f>
        <v>-80145</v>
      </c>
      <c r="J685" s="743"/>
      <c r="K685" s="760"/>
      <c r="L685" s="761"/>
    </row>
    <row r="686" spans="1:12" s="732" customFormat="1" ht="15" hidden="1">
      <c r="A686" s="1072"/>
      <c r="B686" s="1077" t="s">
        <v>545</v>
      </c>
      <c r="C686" s="1070"/>
      <c r="D686" s="1070"/>
      <c r="E686" s="1078"/>
      <c r="F686" s="1070"/>
      <c r="G686" s="825" t="s">
        <v>957</v>
      </c>
      <c r="H686" s="757"/>
      <c r="I686" s="825" t="s">
        <v>957</v>
      </c>
      <c r="K686" s="760"/>
      <c r="L686" s="761"/>
    </row>
    <row r="687" spans="1:12" s="732" customFormat="1" ht="9" customHeight="1">
      <c r="A687" s="1072"/>
      <c r="B687" s="1077"/>
      <c r="C687" s="1070"/>
      <c r="D687" s="1070"/>
      <c r="E687" s="1078"/>
      <c r="F687" s="1070"/>
      <c r="G687" s="825"/>
      <c r="H687" s="757"/>
      <c r="I687" s="825"/>
      <c r="K687" s="760"/>
      <c r="L687" s="761"/>
    </row>
    <row r="688" spans="1:12" s="732" customFormat="1" ht="15.75" thickBot="1">
      <c r="A688" s="1072"/>
      <c r="B688" s="1077" t="s">
        <v>973</v>
      </c>
      <c r="C688" s="1070"/>
      <c r="D688" s="1070"/>
      <c r="E688" s="1078"/>
      <c r="F688" s="1070"/>
      <c r="G688" s="778">
        <f>SUM(G683:G686)</f>
        <v>0</v>
      </c>
      <c r="H688" s="757"/>
      <c r="I688" s="778">
        <f>SUM(I683:I686)</f>
        <v>1619855</v>
      </c>
      <c r="K688" s="760"/>
      <c r="L688" s="761"/>
    </row>
    <row r="689" spans="1:9" ht="9" customHeight="1" thickTop="1">
      <c r="A689" s="1072"/>
      <c r="B689" s="1070"/>
      <c r="C689" s="1107"/>
      <c r="D689" s="1107"/>
      <c r="E689" s="1108"/>
      <c r="F689" s="1107"/>
      <c r="G689" s="1114"/>
      <c r="H689" s="1115"/>
      <c r="I689" s="1116"/>
    </row>
    <row r="690" spans="1:12" s="732" customFormat="1" ht="15">
      <c r="A690" s="1072"/>
      <c r="B690" s="1073" t="s">
        <v>21</v>
      </c>
      <c r="C690" s="1070"/>
      <c r="D690" s="1070"/>
      <c r="E690" s="1078"/>
      <c r="F690" s="1070"/>
      <c r="G690" s="1112"/>
      <c r="H690" s="1059"/>
      <c r="I690" s="1113"/>
      <c r="K690" s="760"/>
      <c r="L690" s="761"/>
    </row>
    <row r="691" spans="1:12" s="732" customFormat="1" ht="9" customHeight="1">
      <c r="A691" s="1072"/>
      <c r="B691" s="1077"/>
      <c r="C691" s="1070"/>
      <c r="D691" s="1070"/>
      <c r="E691" s="1078"/>
      <c r="F691" s="1070"/>
      <c r="G691" s="1112"/>
      <c r="H691" s="1059"/>
      <c r="I691" s="1113"/>
      <c r="K691" s="760"/>
      <c r="L691" s="761"/>
    </row>
    <row r="692" spans="1:12" s="732" customFormat="1" ht="15">
      <c r="A692" s="1072"/>
      <c r="B692" s="1077" t="s">
        <v>309</v>
      </c>
      <c r="C692" s="1070"/>
      <c r="D692" s="1070"/>
      <c r="E692" s="1078"/>
      <c r="F692" s="1070"/>
      <c r="G692" s="836">
        <f>I697</f>
        <v>0</v>
      </c>
      <c r="H692" s="757"/>
      <c r="I692" s="754">
        <v>0</v>
      </c>
      <c r="K692" s="760"/>
      <c r="L692" s="761"/>
    </row>
    <row r="693" spans="1:12" s="732" customFormat="1" ht="15">
      <c r="A693" s="1072"/>
      <c r="B693" s="1077" t="s">
        <v>1419</v>
      </c>
      <c r="C693" s="1070"/>
      <c r="D693" s="1070"/>
      <c r="E693" s="1078"/>
      <c r="F693" s="1070"/>
      <c r="G693" s="836">
        <v>17586000</v>
      </c>
      <c r="H693" s="757"/>
      <c r="I693" s="754">
        <v>0</v>
      </c>
      <c r="K693" s="760"/>
      <c r="L693" s="761"/>
    </row>
    <row r="694" spans="1:12" s="732" customFormat="1" ht="15">
      <c r="A694" s="1072"/>
      <c r="B694" s="1077" t="s">
        <v>1415</v>
      </c>
      <c r="C694" s="1070"/>
      <c r="D694" s="1070"/>
      <c r="E694" s="1078"/>
      <c r="F694" s="1070"/>
      <c r="G694" s="770">
        <f>-13375220-1</f>
        <v>-13375221</v>
      </c>
      <c r="H694" s="757"/>
      <c r="I694" s="770">
        <v>0</v>
      </c>
      <c r="J694" s="743"/>
      <c r="K694" s="760"/>
      <c r="L694" s="761"/>
    </row>
    <row r="695" spans="1:12" s="732" customFormat="1" ht="15" hidden="1">
      <c r="A695" s="1072"/>
      <c r="B695" s="1077" t="s">
        <v>545</v>
      </c>
      <c r="C695" s="1070"/>
      <c r="D695" s="1070"/>
      <c r="E695" s="1078"/>
      <c r="F695" s="1070"/>
      <c r="G695" s="825" t="s">
        <v>957</v>
      </c>
      <c r="H695" s="757"/>
      <c r="I695" s="825" t="s">
        <v>957</v>
      </c>
      <c r="K695" s="760"/>
      <c r="L695" s="761"/>
    </row>
    <row r="696" spans="1:12" s="732" customFormat="1" ht="9" customHeight="1">
      <c r="A696" s="1072"/>
      <c r="B696" s="1077"/>
      <c r="C696" s="1070"/>
      <c r="D696" s="1070"/>
      <c r="E696" s="1078"/>
      <c r="F696" s="1070"/>
      <c r="G696" s="825"/>
      <c r="H696" s="757"/>
      <c r="I696" s="825"/>
      <c r="K696" s="760"/>
      <c r="L696" s="761"/>
    </row>
    <row r="697" spans="1:12" s="732" customFormat="1" ht="15.75" thickBot="1">
      <c r="A697" s="1072"/>
      <c r="B697" s="1077" t="s">
        <v>973</v>
      </c>
      <c r="C697" s="1070"/>
      <c r="D697" s="1070"/>
      <c r="E697" s="1078"/>
      <c r="F697" s="1070"/>
      <c r="G697" s="778">
        <f>SUM(G692:G695)</f>
        <v>4210779</v>
      </c>
      <c r="H697" s="757"/>
      <c r="I697" s="855">
        <f>SUM(I692:I695)</f>
        <v>0</v>
      </c>
      <c r="K697" s="760"/>
      <c r="L697" s="761"/>
    </row>
    <row r="698" spans="1:12" s="732" customFormat="1" ht="9" customHeight="1" thickTop="1">
      <c r="A698" s="1072"/>
      <c r="B698" s="1077"/>
      <c r="C698" s="1077"/>
      <c r="D698" s="1077"/>
      <c r="E698" s="1077"/>
      <c r="F698" s="1077"/>
      <c r="G698" s="1077"/>
      <c r="H698" s="1077"/>
      <c r="I698" s="1077"/>
      <c r="K698" s="760"/>
      <c r="L698" s="761"/>
    </row>
    <row r="699" spans="1:12" s="732" customFormat="1" ht="15" customHeight="1">
      <c r="A699" s="1072"/>
      <c r="B699" s="1073" t="s">
        <v>22</v>
      </c>
      <c r="C699" s="1077"/>
      <c r="D699" s="1077"/>
      <c r="E699" s="1073"/>
      <c r="F699" s="1077"/>
      <c r="G699" s="1110"/>
      <c r="H699" s="1111"/>
      <c r="I699" s="1077"/>
      <c r="K699" s="760"/>
      <c r="L699" s="761"/>
    </row>
    <row r="700" spans="1:12" s="732" customFormat="1" ht="9" customHeight="1">
      <c r="A700" s="1072"/>
      <c r="B700" s="1077"/>
      <c r="C700" s="1077"/>
      <c r="D700" s="1077"/>
      <c r="E700" s="1073"/>
      <c r="F700" s="1077"/>
      <c r="G700" s="1110"/>
      <c r="H700" s="1111"/>
      <c r="I700" s="1077"/>
      <c r="K700" s="760"/>
      <c r="L700" s="761"/>
    </row>
    <row r="701" spans="1:12" s="732" customFormat="1" ht="15">
      <c r="A701" s="1072"/>
      <c r="B701" s="1077" t="s">
        <v>309</v>
      </c>
      <c r="C701" s="1077"/>
      <c r="D701" s="1077"/>
      <c r="E701" s="1073"/>
      <c r="F701" s="1077"/>
      <c r="G701" s="812">
        <f>I706</f>
        <v>575202</v>
      </c>
      <c r="H701" s="848"/>
      <c r="I701" s="860">
        <v>1145017</v>
      </c>
      <c r="K701" s="760"/>
      <c r="L701" s="761"/>
    </row>
    <row r="702" spans="1:12" s="732" customFormat="1" ht="15">
      <c r="A702" s="1072"/>
      <c r="B702" s="1077" t="s">
        <v>835</v>
      </c>
      <c r="C702" s="1077"/>
      <c r="D702" s="1077"/>
      <c r="E702" s="1073"/>
      <c r="F702" s="1077"/>
      <c r="G702" s="812">
        <v>-122913</v>
      </c>
      <c r="H702" s="848"/>
      <c r="I702" s="860">
        <v>468896</v>
      </c>
      <c r="K702" s="760"/>
      <c r="L702" s="761"/>
    </row>
    <row r="703" spans="1:12" s="732" customFormat="1" ht="15">
      <c r="A703" s="1072"/>
      <c r="B703" s="1077" t="s">
        <v>1419</v>
      </c>
      <c r="C703" s="1077"/>
      <c r="D703" s="1077"/>
      <c r="E703" s="1073" t="s">
        <v>1587</v>
      </c>
      <c r="F703" s="1077"/>
      <c r="G703" s="812">
        <v>1694126</v>
      </c>
      <c r="H703" s="848"/>
      <c r="I703" s="860">
        <v>2621264</v>
      </c>
      <c r="K703" s="760"/>
      <c r="L703" s="761"/>
    </row>
    <row r="704" spans="1:12" s="732" customFormat="1" ht="15">
      <c r="A704" s="1072"/>
      <c r="B704" s="1077" t="s">
        <v>1415</v>
      </c>
      <c r="C704" s="1077"/>
      <c r="D704" s="1077"/>
      <c r="E704" s="1073" t="s">
        <v>1587</v>
      </c>
      <c r="F704" s="1077"/>
      <c r="G704" s="812">
        <v>-1673128</v>
      </c>
      <c r="H704" s="848"/>
      <c r="I704" s="860">
        <v>-3659975</v>
      </c>
      <c r="K704" s="760"/>
      <c r="L704" s="761"/>
    </row>
    <row r="705" spans="1:12" s="732" customFormat="1" ht="9" customHeight="1">
      <c r="A705" s="1072"/>
      <c r="B705" s="1077"/>
      <c r="C705" s="1077"/>
      <c r="D705" s="1077"/>
      <c r="E705" s="1073"/>
      <c r="F705" s="1077"/>
      <c r="G705" s="812"/>
      <c r="H705" s="848"/>
      <c r="I705" s="860"/>
      <c r="K705" s="760"/>
      <c r="L705" s="761"/>
    </row>
    <row r="706" spans="1:12" s="732" customFormat="1" ht="15.75" thickBot="1">
      <c r="A706" s="1072"/>
      <c r="B706" s="1077" t="s">
        <v>973</v>
      </c>
      <c r="C706" s="1077"/>
      <c r="D706" s="1077"/>
      <c r="E706" s="1073" t="s">
        <v>1587</v>
      </c>
      <c r="F706" s="1077"/>
      <c r="G706" s="817">
        <f>SUM(G701:G704)</f>
        <v>473287</v>
      </c>
      <c r="H706" s="848"/>
      <c r="I706" s="1198">
        <f>SUM(I701:I705)</f>
        <v>575202</v>
      </c>
      <c r="J706" s="732" t="s">
        <v>259</v>
      </c>
      <c r="K706" s="760"/>
      <c r="L706" s="761"/>
    </row>
    <row r="707" spans="1:12" s="732" customFormat="1" ht="9" customHeight="1" thickTop="1">
      <c r="A707" s="1072"/>
      <c r="B707" s="1077"/>
      <c r="C707" s="1077"/>
      <c r="D707" s="1077"/>
      <c r="E707" s="1073"/>
      <c r="F707" s="1077"/>
      <c r="G707" s="1067"/>
      <c r="H707" s="1111"/>
      <c r="I707" s="1111"/>
      <c r="K707" s="760"/>
      <c r="L707" s="761"/>
    </row>
    <row r="708" spans="1:12" s="732" customFormat="1" ht="15">
      <c r="A708" s="1072"/>
      <c r="B708" s="1279" t="s">
        <v>1080</v>
      </c>
      <c r="C708" s="1281"/>
      <c r="D708" s="1281"/>
      <c r="E708" s="1281"/>
      <c r="F708" s="1077"/>
      <c r="G708" s="1077"/>
      <c r="H708" s="1077"/>
      <c r="I708" s="1077"/>
      <c r="K708" s="760"/>
      <c r="L708" s="761"/>
    </row>
    <row r="709" spans="1:12" s="732" customFormat="1" ht="9" customHeight="1">
      <c r="A709" s="1109"/>
      <c r="B709" s="1109"/>
      <c r="C709" s="1109"/>
      <c r="D709" s="1109"/>
      <c r="E709" s="1109"/>
      <c r="F709" s="1109"/>
      <c r="G709" s="1109"/>
      <c r="H709" s="1109"/>
      <c r="I709" s="1088"/>
      <c r="K709" s="760"/>
      <c r="L709" s="761"/>
    </row>
    <row r="710" spans="1:12" s="732" customFormat="1" ht="15">
      <c r="A710" s="1072"/>
      <c r="B710" s="1073" t="s">
        <v>23</v>
      </c>
      <c r="C710" s="1070"/>
      <c r="D710" s="1070"/>
      <c r="E710" s="1078"/>
      <c r="F710" s="1070"/>
      <c r="G710" s="1068"/>
      <c r="H710" s="1069"/>
      <c r="I710" s="1070"/>
      <c r="K710" s="760"/>
      <c r="L710" s="761"/>
    </row>
    <row r="711" spans="1:12" s="732" customFormat="1" ht="9" customHeight="1">
      <c r="A711" s="1072"/>
      <c r="B711" s="1077"/>
      <c r="C711" s="1070"/>
      <c r="D711" s="1070"/>
      <c r="E711" s="1078"/>
      <c r="F711" s="1070"/>
      <c r="G711" s="1068"/>
      <c r="H711" s="1069"/>
      <c r="I711" s="1070"/>
      <c r="K711" s="760"/>
      <c r="L711" s="761"/>
    </row>
    <row r="712" spans="1:12" s="732" customFormat="1" ht="15">
      <c r="A712" s="1072"/>
      <c r="B712" s="1077" t="s">
        <v>309</v>
      </c>
      <c r="C712" s="1070"/>
      <c r="D712" s="1070"/>
      <c r="E712" s="1078"/>
      <c r="F712" s="1070"/>
      <c r="G712" s="1068">
        <f>I716</f>
        <v>440407</v>
      </c>
      <c r="H712" s="1069"/>
      <c r="I712" s="1070">
        <v>148478</v>
      </c>
      <c r="K712" s="760"/>
      <c r="L712" s="761"/>
    </row>
    <row r="713" spans="1:12" s="732" customFormat="1" ht="15">
      <c r="A713" s="753"/>
      <c r="B713" s="776" t="s">
        <v>1419</v>
      </c>
      <c r="C713" s="754"/>
      <c r="D713" s="754"/>
      <c r="E713" s="755"/>
      <c r="F713" s="754"/>
      <c r="G713" s="756">
        <v>100000</v>
      </c>
      <c r="H713" s="757"/>
      <c r="I713" s="758">
        <v>420000</v>
      </c>
      <c r="K713" s="760"/>
      <c r="L713" s="761"/>
    </row>
    <row r="714" spans="1:12" s="732" customFormat="1" ht="15">
      <c r="A714" s="753"/>
      <c r="B714" s="776" t="s">
        <v>1415</v>
      </c>
      <c r="C714" s="754"/>
      <c r="D714" s="754"/>
      <c r="E714" s="755"/>
      <c r="F714" s="754"/>
      <c r="G714" s="765">
        <v>-69798</v>
      </c>
      <c r="H714" s="757"/>
      <c r="I714" s="765">
        <v>-128071</v>
      </c>
      <c r="K714" s="760"/>
      <c r="L714" s="761"/>
    </row>
    <row r="715" spans="1:12" s="732" customFormat="1" ht="9" customHeight="1">
      <c r="A715" s="753"/>
      <c r="B715" s="776"/>
      <c r="C715" s="754"/>
      <c r="D715" s="754"/>
      <c r="E715" s="755"/>
      <c r="F715" s="754"/>
      <c r="G715" s="765"/>
      <c r="H715" s="757"/>
      <c r="I715" s="765"/>
      <c r="K715" s="760"/>
      <c r="L715" s="761"/>
    </row>
    <row r="716" spans="1:12" s="732" customFormat="1" ht="15.75" thickBot="1">
      <c r="A716" s="753"/>
      <c r="B716" s="776" t="s">
        <v>973</v>
      </c>
      <c r="C716" s="754"/>
      <c r="D716" s="754"/>
      <c r="E716" s="755"/>
      <c r="F716" s="754"/>
      <c r="G716" s="771">
        <f>SUM(G712:G714)</f>
        <v>470609</v>
      </c>
      <c r="H716" s="781"/>
      <c r="I716" s="779">
        <f>SUM(I712:I715)</f>
        <v>440407</v>
      </c>
      <c r="K716" s="760"/>
      <c r="L716" s="761"/>
    </row>
    <row r="717" spans="1:12" s="732" customFormat="1" ht="9" customHeight="1" thickTop="1">
      <c r="A717" s="753"/>
      <c r="B717" s="776"/>
      <c r="C717" s="754"/>
      <c r="D717" s="754"/>
      <c r="E717" s="755"/>
      <c r="F717" s="754"/>
      <c r="G717" s="765"/>
      <c r="H717" s="757"/>
      <c r="I717" s="764"/>
      <c r="K717" s="760"/>
      <c r="L717" s="761"/>
    </row>
    <row r="718" spans="1:12" s="732" customFormat="1" ht="15">
      <c r="A718" s="753"/>
      <c r="B718" s="1274" t="s">
        <v>871</v>
      </c>
      <c r="C718" s="1275"/>
      <c r="D718" s="1275"/>
      <c r="E718" s="1275"/>
      <c r="F718" s="776"/>
      <c r="G718" s="776"/>
      <c r="H718" s="776"/>
      <c r="I718" s="776"/>
      <c r="K718" s="760"/>
      <c r="L718" s="761"/>
    </row>
    <row r="719" ht="9" customHeight="1">
      <c r="I719" s="847"/>
    </row>
    <row r="720" spans="1:12" s="732" customFormat="1" ht="15">
      <c r="A720" s="753"/>
      <c r="B720" s="795" t="s">
        <v>24</v>
      </c>
      <c r="C720" s="754"/>
      <c r="D720" s="754"/>
      <c r="E720" s="755"/>
      <c r="F720" s="754"/>
      <c r="G720" s="756"/>
      <c r="H720" s="757"/>
      <c r="I720" s="758"/>
      <c r="K720" s="760"/>
      <c r="L720" s="761"/>
    </row>
    <row r="721" spans="1:12" s="732" customFormat="1" ht="9" customHeight="1">
      <c r="A721" s="753"/>
      <c r="B721" s="776"/>
      <c r="C721" s="754"/>
      <c r="D721" s="754"/>
      <c r="E721" s="755"/>
      <c r="F721" s="754"/>
      <c r="G721" s="777"/>
      <c r="H721" s="757"/>
      <c r="K721" s="760"/>
      <c r="L721" s="761"/>
    </row>
    <row r="722" spans="1:12" s="732" customFormat="1" ht="15">
      <c r="A722" s="753"/>
      <c r="B722" s="1077" t="s">
        <v>309</v>
      </c>
      <c r="C722" s="1070"/>
      <c r="D722" s="1070"/>
      <c r="E722" s="1078"/>
      <c r="F722" s="1070"/>
      <c r="G722" s="1117">
        <f>I726</f>
        <v>824528</v>
      </c>
      <c r="H722" s="1069"/>
      <c r="I722" s="1113">
        <v>0</v>
      </c>
      <c r="K722" s="760"/>
      <c r="L722" s="761"/>
    </row>
    <row r="723" spans="1:12" s="732" customFormat="1" ht="15">
      <c r="A723" s="753"/>
      <c r="B723" s="1077" t="s">
        <v>1419</v>
      </c>
      <c r="C723" s="1070"/>
      <c r="D723" s="1070"/>
      <c r="E723" s="1078"/>
      <c r="F723" s="1070"/>
      <c r="G723" s="1117">
        <v>1130546</v>
      </c>
      <c r="H723" s="1069"/>
      <c r="I723" s="777">
        <v>824528</v>
      </c>
      <c r="K723" s="760"/>
      <c r="L723" s="761"/>
    </row>
    <row r="724" spans="1:12" s="732" customFormat="1" ht="15">
      <c r="A724" s="753"/>
      <c r="B724" s="1077" t="s">
        <v>1415</v>
      </c>
      <c r="C724" s="1070"/>
      <c r="D724" s="1070"/>
      <c r="E724" s="1078"/>
      <c r="F724" s="1070"/>
      <c r="G724" s="1092">
        <f>-1360564</f>
        <v>-1360564</v>
      </c>
      <c r="H724" s="1069"/>
      <c r="I724" s="1113">
        <v>0</v>
      </c>
      <c r="K724" s="760"/>
      <c r="L724" s="761"/>
    </row>
    <row r="725" spans="1:12" s="732" customFormat="1" ht="9" customHeight="1">
      <c r="A725" s="753"/>
      <c r="B725" s="1077"/>
      <c r="C725" s="1070"/>
      <c r="D725" s="1070"/>
      <c r="E725" s="1078"/>
      <c r="F725" s="1070"/>
      <c r="G725" s="1092"/>
      <c r="H725" s="1069"/>
      <c r="I725" s="765"/>
      <c r="K725" s="760"/>
      <c r="L725" s="761"/>
    </row>
    <row r="726" spans="1:12" s="732" customFormat="1" ht="15.75" thickBot="1">
      <c r="A726" s="753"/>
      <c r="B726" s="1077" t="s">
        <v>973</v>
      </c>
      <c r="C726" s="1070"/>
      <c r="D726" s="1070"/>
      <c r="E726" s="1078"/>
      <c r="F726" s="1070"/>
      <c r="G726" s="1118">
        <f>SUM(G722:G724)</f>
        <v>594510</v>
      </c>
      <c r="H726" s="1069"/>
      <c r="I726" s="779">
        <f>SUM(I722:I724)</f>
        <v>824528</v>
      </c>
      <c r="K726" s="760"/>
      <c r="L726" s="761"/>
    </row>
    <row r="727" spans="1:12" s="732" customFormat="1" ht="15.75" thickTop="1">
      <c r="A727" s="753"/>
      <c r="B727" s="1279" t="s">
        <v>311</v>
      </c>
      <c r="C727" s="1279"/>
      <c r="D727" s="1279"/>
      <c r="E727" s="1279"/>
      <c r="F727" s="1279"/>
      <c r="G727" s="1279"/>
      <c r="H727" s="1279"/>
      <c r="I727" s="1279"/>
      <c r="K727" s="760"/>
      <c r="L727" s="761"/>
    </row>
    <row r="728" ht="9" customHeight="1"/>
    <row r="729" spans="1:12" s="732" customFormat="1" ht="15">
      <c r="A729" s="753"/>
      <c r="B729" s="795" t="s">
        <v>25</v>
      </c>
      <c r="C729" s="754"/>
      <c r="D729" s="754"/>
      <c r="E729" s="755"/>
      <c r="F729" s="754"/>
      <c r="G729" s="756"/>
      <c r="H729" s="757"/>
      <c r="I729" s="754"/>
      <c r="K729" s="760"/>
      <c r="L729" s="761"/>
    </row>
    <row r="730" spans="1:12" s="732" customFormat="1" ht="9" customHeight="1">
      <c r="A730" s="753"/>
      <c r="B730" s="776"/>
      <c r="C730" s="754"/>
      <c r="D730" s="754"/>
      <c r="E730" s="755"/>
      <c r="F730" s="754"/>
      <c r="G730" s="756"/>
      <c r="H730" s="757"/>
      <c r="I730" s="754"/>
      <c r="K730" s="760"/>
      <c r="L730" s="761"/>
    </row>
    <row r="731" spans="1:12" s="732" customFormat="1" ht="15">
      <c r="A731" s="753"/>
      <c r="B731" s="776" t="s">
        <v>309</v>
      </c>
      <c r="C731" s="754"/>
      <c r="D731" s="754"/>
      <c r="E731" s="755"/>
      <c r="F731" s="754"/>
      <c r="G731" s="756">
        <f>I735</f>
        <v>28326</v>
      </c>
      <c r="H731" s="757"/>
      <c r="I731" s="758">
        <v>28326</v>
      </c>
      <c r="K731" s="760"/>
      <c r="L731" s="761"/>
    </row>
    <row r="732" spans="1:12" s="732" customFormat="1" ht="15">
      <c r="A732" s="753"/>
      <c r="B732" s="776" t="s">
        <v>836</v>
      </c>
      <c r="C732" s="754"/>
      <c r="D732" s="754"/>
      <c r="E732" s="755"/>
      <c r="F732" s="754"/>
      <c r="G732" s="756">
        <v>-28326</v>
      </c>
      <c r="H732" s="757"/>
      <c r="I732" s="1113">
        <v>0</v>
      </c>
      <c r="K732" s="760"/>
      <c r="L732" s="761"/>
    </row>
    <row r="733" spans="1:12" s="732" customFormat="1" ht="15" hidden="1">
      <c r="A733" s="753"/>
      <c r="B733" s="776" t="s">
        <v>1415</v>
      </c>
      <c r="C733" s="754"/>
      <c r="D733" s="754"/>
      <c r="E733" s="755"/>
      <c r="F733" s="754"/>
      <c r="G733" s="1113">
        <v>0</v>
      </c>
      <c r="H733" s="757"/>
      <c r="I733" s="1113">
        <v>0</v>
      </c>
      <c r="K733" s="760"/>
      <c r="L733" s="761"/>
    </row>
    <row r="734" spans="1:12" s="732" customFormat="1" ht="9" customHeight="1">
      <c r="A734" s="753"/>
      <c r="B734" s="776"/>
      <c r="C734" s="754"/>
      <c r="D734" s="754"/>
      <c r="E734" s="755"/>
      <c r="F734" s="754"/>
      <c r="G734" s="765"/>
      <c r="H734" s="757"/>
      <c r="I734" s="765"/>
      <c r="K734" s="760"/>
      <c r="L734" s="761"/>
    </row>
    <row r="735" spans="1:12" s="732" customFormat="1" ht="15.75" thickBot="1">
      <c r="A735" s="753"/>
      <c r="B735" s="776" t="s">
        <v>973</v>
      </c>
      <c r="C735" s="754"/>
      <c r="D735" s="754"/>
      <c r="E735" s="755"/>
      <c r="F735" s="754"/>
      <c r="G735" s="773">
        <f>SUM(G731:G733)</f>
        <v>0</v>
      </c>
      <c r="H735" s="757"/>
      <c r="I735" s="779">
        <f>SUM(I731:I734)</f>
        <v>28326</v>
      </c>
      <c r="K735" s="760"/>
      <c r="L735" s="761"/>
    </row>
    <row r="736" spans="1:12" s="732" customFormat="1" ht="9" customHeight="1" thickTop="1">
      <c r="A736" s="753"/>
      <c r="B736" s="776"/>
      <c r="C736" s="754"/>
      <c r="D736" s="754"/>
      <c r="E736" s="755"/>
      <c r="F736" s="754"/>
      <c r="G736" s="780"/>
      <c r="H736" s="757"/>
      <c r="I736" s="764"/>
      <c r="K736" s="760"/>
      <c r="L736" s="761"/>
    </row>
    <row r="737" spans="1:12" s="732" customFormat="1" ht="15">
      <c r="A737" s="753"/>
      <c r="B737" s="795" t="s">
        <v>26</v>
      </c>
      <c r="C737" s="754"/>
      <c r="D737" s="754"/>
      <c r="E737" s="755"/>
      <c r="F737" s="754"/>
      <c r="G737" s="756"/>
      <c r="H737" s="757"/>
      <c r="I737" s="754"/>
      <c r="K737" s="760"/>
      <c r="L737" s="761"/>
    </row>
    <row r="738" spans="1:12" s="732" customFormat="1" ht="9" customHeight="1">
      <c r="A738" s="753"/>
      <c r="B738" s="776"/>
      <c r="C738" s="754"/>
      <c r="D738" s="754"/>
      <c r="E738" s="755"/>
      <c r="F738" s="754"/>
      <c r="G738" s="756"/>
      <c r="H738" s="757"/>
      <c r="I738" s="754"/>
      <c r="K738" s="760"/>
      <c r="L738" s="761"/>
    </row>
    <row r="739" spans="1:12" s="732" customFormat="1" ht="15">
      <c r="A739" s="753"/>
      <c r="B739" s="776" t="s">
        <v>309</v>
      </c>
      <c r="C739" s="754"/>
      <c r="D739" s="754"/>
      <c r="E739" s="755"/>
      <c r="F739" s="754"/>
      <c r="G739" s="1070">
        <v>0</v>
      </c>
      <c r="H739" s="1069"/>
      <c r="I739" s="1070">
        <v>0</v>
      </c>
      <c r="K739" s="760"/>
      <c r="L739" s="761"/>
    </row>
    <row r="740" spans="1:12" s="732" customFormat="1" ht="15">
      <c r="A740" s="753"/>
      <c r="B740" s="776" t="s">
        <v>1419</v>
      </c>
      <c r="C740" s="754"/>
      <c r="D740" s="754"/>
      <c r="E740" s="755"/>
      <c r="F740" s="754"/>
      <c r="G740" s="777">
        <v>400000</v>
      </c>
      <c r="H740" s="1069"/>
      <c r="I740" s="1070">
        <v>0</v>
      </c>
      <c r="K740" s="760"/>
      <c r="L740" s="761"/>
    </row>
    <row r="741" spans="1:12" s="732" customFormat="1" ht="15">
      <c r="A741" s="753"/>
      <c r="B741" s="776" t="s">
        <v>1415</v>
      </c>
      <c r="C741" s="754"/>
      <c r="D741" s="754"/>
      <c r="E741" s="755"/>
      <c r="F741" s="754"/>
      <c r="G741" s="765">
        <f>-321230</f>
        <v>-321230</v>
      </c>
      <c r="H741" s="1069"/>
      <c r="I741" s="1070">
        <v>0</v>
      </c>
      <c r="K741" s="760"/>
      <c r="L741" s="761"/>
    </row>
    <row r="742" spans="1:12" s="732" customFormat="1" ht="9" customHeight="1">
      <c r="A742" s="753"/>
      <c r="B742" s="776"/>
      <c r="C742" s="754"/>
      <c r="D742" s="754"/>
      <c r="E742" s="755"/>
      <c r="F742" s="754"/>
      <c r="G742" s="765"/>
      <c r="H742" s="1069"/>
      <c r="I742" s="1065"/>
      <c r="K742" s="760"/>
      <c r="L742" s="761"/>
    </row>
    <row r="743" spans="1:12" s="732" customFormat="1" ht="15.75" thickBot="1">
      <c r="A743" s="753"/>
      <c r="B743" s="776" t="s">
        <v>973</v>
      </c>
      <c r="C743" s="754"/>
      <c r="D743" s="754"/>
      <c r="E743" s="755"/>
      <c r="F743" s="754"/>
      <c r="G743" s="1086">
        <f>SUM(G739:G741)</f>
        <v>78770</v>
      </c>
      <c r="H743" s="1069"/>
      <c r="I743" s="1176">
        <f>SUM(I739:I742)</f>
        <v>0</v>
      </c>
      <c r="K743" s="760" t="s">
        <v>613</v>
      </c>
      <c r="L743" s="761"/>
    </row>
    <row r="744" spans="1:12" s="732" customFormat="1" ht="9" customHeight="1" thickTop="1">
      <c r="A744" s="753"/>
      <c r="B744" s="755"/>
      <c r="C744" s="755"/>
      <c r="D744" s="755"/>
      <c r="E744" s="755"/>
      <c r="F744" s="755"/>
      <c r="G744" s="1119"/>
      <c r="H744" s="1078"/>
      <c r="I744" s="1070"/>
      <c r="K744" s="760"/>
      <c r="L744" s="761"/>
    </row>
    <row r="745" spans="1:12" s="732" customFormat="1" ht="15.75" thickBot="1">
      <c r="A745" s="753"/>
      <c r="B745" s="795" t="s">
        <v>852</v>
      </c>
      <c r="C745" s="776"/>
      <c r="D745" s="776"/>
      <c r="E745" s="776"/>
      <c r="F745" s="776"/>
      <c r="G745" s="1120">
        <f>G211</f>
        <v>15694726</v>
      </c>
      <c r="H745" s="1073"/>
      <c r="I745" s="1120">
        <f>I211</f>
        <v>32477811</v>
      </c>
      <c r="J745" s="760">
        <f>K613</f>
        <v>15694726</v>
      </c>
      <c r="K745" s="760">
        <f>'Grap Balance Sheet'!F26</f>
        <v>32477811</v>
      </c>
      <c r="L745" s="761"/>
    </row>
    <row r="746" spans="1:12" s="732" customFormat="1" ht="9" customHeight="1">
      <c r="A746" s="753"/>
      <c r="B746" s="795"/>
      <c r="C746" s="776"/>
      <c r="D746" s="776"/>
      <c r="E746" s="776"/>
      <c r="F746" s="776"/>
      <c r="G746" s="829"/>
      <c r="H746" s="776"/>
      <c r="I746" s="815"/>
      <c r="J746" s="862">
        <f>I211</f>
        <v>32477811</v>
      </c>
      <c r="K746" s="761"/>
      <c r="L746" s="761"/>
    </row>
    <row r="747" spans="1:12" s="732" customFormat="1" ht="15">
      <c r="A747" s="753"/>
      <c r="B747" s="795" t="s">
        <v>1002</v>
      </c>
      <c r="C747" s="776"/>
      <c r="D747" s="776"/>
      <c r="E747" s="776"/>
      <c r="F747" s="776"/>
      <c r="G747" s="829"/>
      <c r="H747" s="776"/>
      <c r="I747" s="815"/>
      <c r="K747" s="760"/>
      <c r="L747" s="761"/>
    </row>
    <row r="748" spans="1:12" s="732" customFormat="1" ht="15">
      <c r="A748" s="753"/>
      <c r="B748" s="1280" t="s">
        <v>1003</v>
      </c>
      <c r="C748" s="1280"/>
      <c r="D748" s="1280"/>
      <c r="E748" s="1280"/>
      <c r="F748" s="863"/>
      <c r="G748" s="863"/>
      <c r="H748" s="863"/>
      <c r="I748" s="863"/>
      <c r="K748" s="760"/>
      <c r="L748" s="761"/>
    </row>
    <row r="749" spans="1:12" s="732" customFormat="1" ht="9" customHeight="1">
      <c r="A749" s="803"/>
      <c r="B749" s="794"/>
      <c r="C749" s="794"/>
      <c r="D749" s="794"/>
      <c r="E749" s="794"/>
      <c r="F749" s="794"/>
      <c r="G749" s="794"/>
      <c r="H749" s="794"/>
      <c r="I749" s="1175"/>
      <c r="K749" s="760"/>
      <c r="L749" s="761"/>
    </row>
    <row r="750" spans="1:12" s="732" customFormat="1" ht="15">
      <c r="A750" s="753">
        <v>19</v>
      </c>
      <c r="B750" s="795" t="s">
        <v>1428</v>
      </c>
      <c r="C750" s="754"/>
      <c r="D750" s="754"/>
      <c r="E750" s="755" t="s">
        <v>1587</v>
      </c>
      <c r="F750" s="754"/>
      <c r="G750" s="756"/>
      <c r="H750" s="757"/>
      <c r="I750" s="754"/>
      <c r="J750" s="732" t="s">
        <v>457</v>
      </c>
      <c r="K750" s="760"/>
      <c r="L750" s="761"/>
    </row>
    <row r="751" spans="1:12" s="732" customFormat="1" ht="9" customHeight="1">
      <c r="A751" s="753"/>
      <c r="B751" s="795"/>
      <c r="C751" s="754"/>
      <c r="D751" s="754"/>
      <c r="E751" s="755"/>
      <c r="F751" s="754"/>
      <c r="G751" s="756"/>
      <c r="H751" s="757"/>
      <c r="I751" s="754"/>
      <c r="K751" s="760"/>
      <c r="L751" s="761"/>
    </row>
    <row r="752" spans="1:12" s="732" customFormat="1" ht="15">
      <c r="A752" s="753"/>
      <c r="B752" s="795" t="s">
        <v>38</v>
      </c>
      <c r="C752" s="754"/>
      <c r="D752" s="754"/>
      <c r="E752" s="755"/>
      <c r="F752" s="754"/>
      <c r="G752" s="756"/>
      <c r="H752" s="757"/>
      <c r="I752" s="754"/>
      <c r="K752" s="760"/>
      <c r="L752" s="761"/>
    </row>
    <row r="753" spans="1:12" s="732" customFormat="1" ht="9" customHeight="1">
      <c r="A753" s="1271"/>
      <c r="B753" s="1271"/>
      <c r="C753" s="1271"/>
      <c r="D753" s="1271"/>
      <c r="E753" s="1271"/>
      <c r="F753" s="1271"/>
      <c r="G753" s="1271"/>
      <c r="H753" s="1271"/>
      <c r="I753" s="1271"/>
      <c r="K753" s="760"/>
      <c r="L753" s="761"/>
    </row>
    <row r="754" spans="1:12" s="732" customFormat="1" ht="15">
      <c r="A754" s="936" t="s">
        <v>1587</v>
      </c>
      <c r="B754" s="776" t="s">
        <v>1005</v>
      </c>
      <c r="C754" s="754"/>
      <c r="D754" s="754"/>
      <c r="E754" s="755" t="s">
        <v>1587</v>
      </c>
      <c r="F754" s="754"/>
      <c r="G754" s="836">
        <v>368502</v>
      </c>
      <c r="H754" s="757"/>
      <c r="I754" s="754">
        <v>440558</v>
      </c>
      <c r="J754" s="732" t="s">
        <v>504</v>
      </c>
      <c r="K754" s="760" t="s">
        <v>632</v>
      </c>
      <c r="L754" s="761"/>
    </row>
    <row r="755" spans="1:12" s="732" customFormat="1" ht="15">
      <c r="A755" s="753"/>
      <c r="B755" s="776" t="s">
        <v>198</v>
      </c>
      <c r="C755" s="754"/>
      <c r="D755" s="754"/>
      <c r="E755" s="755"/>
      <c r="F755" s="754"/>
      <c r="G755" s="836">
        <f>518301+253031</f>
        <v>771332</v>
      </c>
      <c r="H755" s="757"/>
      <c r="I755" s="754">
        <v>1480768</v>
      </c>
      <c r="J755" s="732" t="s">
        <v>503</v>
      </c>
      <c r="K755" s="760">
        <f>'Grap i&amp;E'!F17</f>
        <v>37815652</v>
      </c>
      <c r="L755" s="761"/>
    </row>
    <row r="756" spans="1:12" s="732" customFormat="1" ht="15">
      <c r="A756" s="753"/>
      <c r="B756" s="776" t="s">
        <v>490</v>
      </c>
      <c r="C756" s="754"/>
      <c r="D756" s="754"/>
      <c r="E756" s="755"/>
      <c r="F756" s="754"/>
      <c r="G756" s="836">
        <v>631097</v>
      </c>
      <c r="H756" s="757"/>
      <c r="I756" s="754">
        <v>518871</v>
      </c>
      <c r="J756" s="732" t="s">
        <v>492</v>
      </c>
      <c r="K756" s="760">
        <f>SUM(I755:I768)</f>
        <v>37375094</v>
      </c>
      <c r="L756" s="761"/>
    </row>
    <row r="757" spans="1:12" s="732" customFormat="1" ht="15">
      <c r="A757" s="753"/>
      <c r="B757" s="776" t="s">
        <v>187</v>
      </c>
      <c r="C757" s="754"/>
      <c r="D757" s="754"/>
      <c r="E757" s="755" t="s">
        <v>1587</v>
      </c>
      <c r="F757" s="754"/>
      <c r="G757" s="836">
        <v>1594092</v>
      </c>
      <c r="H757" s="757"/>
      <c r="I757" s="754">
        <v>3329133</v>
      </c>
      <c r="J757" s="732" t="s">
        <v>493</v>
      </c>
      <c r="K757" s="760">
        <f>SUM(I755:I765)+I768+I766</f>
        <v>37394310</v>
      </c>
      <c r="L757" s="761"/>
    </row>
    <row r="758" spans="1:12" s="732" customFormat="1" ht="15">
      <c r="A758" s="753"/>
      <c r="B758" s="776" t="s">
        <v>188</v>
      </c>
      <c r="C758" s="754"/>
      <c r="D758" s="754"/>
      <c r="E758" s="755" t="s">
        <v>1587</v>
      </c>
      <c r="F758" s="754"/>
      <c r="G758" s="836">
        <v>12479924</v>
      </c>
      <c r="H758" s="757"/>
      <c r="I758" s="754">
        <v>8801089</v>
      </c>
      <c r="J758" s="732" t="s">
        <v>500</v>
      </c>
      <c r="K758" s="760">
        <f>K755-K756</f>
        <v>440558</v>
      </c>
      <c r="L758" s="761"/>
    </row>
    <row r="759" spans="1:12" s="732" customFormat="1" ht="15">
      <c r="A759" s="753"/>
      <c r="B759" s="776" t="s">
        <v>237</v>
      </c>
      <c r="C759" s="754"/>
      <c r="D759" s="754"/>
      <c r="E759" s="755" t="s">
        <v>1587</v>
      </c>
      <c r="F759" s="754"/>
      <c r="G759" s="836">
        <v>1397897</v>
      </c>
      <c r="H759" s="757"/>
      <c r="I759" s="754">
        <v>1493039</v>
      </c>
      <c r="J759" s="732" t="s">
        <v>494</v>
      </c>
      <c r="K759" s="760"/>
      <c r="L759" s="761"/>
    </row>
    <row r="760" spans="1:12" s="732" customFormat="1" ht="15">
      <c r="A760" s="753"/>
      <c r="B760" s="776" t="s">
        <v>1006</v>
      </c>
      <c r="C760" s="754"/>
      <c r="D760" s="754"/>
      <c r="E760" s="755" t="s">
        <v>1587</v>
      </c>
      <c r="F760" s="754"/>
      <c r="G760" s="836">
        <v>2257148</v>
      </c>
      <c r="H760" s="757"/>
      <c r="I760" s="754">
        <v>1903681</v>
      </c>
      <c r="J760" s="732" t="s">
        <v>498</v>
      </c>
      <c r="K760" s="760"/>
      <c r="L760" s="761"/>
    </row>
    <row r="761" spans="1:12" s="732" customFormat="1" ht="15">
      <c r="A761" s="753"/>
      <c r="B761" s="776" t="s">
        <v>1362</v>
      </c>
      <c r="C761" s="754"/>
      <c r="D761" s="754"/>
      <c r="E761" s="755"/>
      <c r="F761" s="754"/>
      <c r="G761" s="836">
        <v>603981</v>
      </c>
      <c r="H761" s="757"/>
      <c r="I761" s="754">
        <v>621092</v>
      </c>
      <c r="J761" s="732" t="s">
        <v>495</v>
      </c>
      <c r="K761" s="864" t="s">
        <v>946</v>
      </c>
      <c r="L761" s="761"/>
    </row>
    <row r="762" spans="1:12" s="732" customFormat="1" ht="15">
      <c r="A762" s="753"/>
      <c r="B762" s="776" t="s">
        <v>1007</v>
      </c>
      <c r="C762" s="755"/>
      <c r="D762" s="755"/>
      <c r="E762" s="755" t="s">
        <v>1587</v>
      </c>
      <c r="F762" s="755"/>
      <c r="G762" s="836">
        <v>1216655</v>
      </c>
      <c r="H762" s="781"/>
      <c r="I762" s="754">
        <v>759474</v>
      </c>
      <c r="J762" s="732" t="s">
        <v>499</v>
      </c>
      <c r="K762" s="760">
        <f>'Grap i&amp;E'!D17</f>
        <v>33391207</v>
      </c>
      <c r="L762" s="761"/>
    </row>
    <row r="763" spans="1:12" s="732" customFormat="1" ht="15">
      <c r="A763" s="753"/>
      <c r="B763" s="776" t="s">
        <v>199</v>
      </c>
      <c r="C763" s="754"/>
      <c r="D763" s="754"/>
      <c r="E763" s="755" t="s">
        <v>1587</v>
      </c>
      <c r="F763" s="754"/>
      <c r="G763" s="836">
        <v>3861473</v>
      </c>
      <c r="H763" s="757"/>
      <c r="I763" s="754">
        <v>8055898</v>
      </c>
      <c r="J763" s="732" t="s">
        <v>502</v>
      </c>
      <c r="K763" s="760" t="s">
        <v>1587</v>
      </c>
      <c r="L763" s="761"/>
    </row>
    <row r="764" spans="1:12" s="732" customFormat="1" ht="15">
      <c r="A764" s="753"/>
      <c r="B764" s="776" t="s">
        <v>1004</v>
      </c>
      <c r="C764" s="754"/>
      <c r="D764" s="754"/>
      <c r="E764" s="755" t="s">
        <v>1587</v>
      </c>
      <c r="F764" s="754"/>
      <c r="G764" s="836">
        <f>158123-22</f>
        <v>158101</v>
      </c>
      <c r="H764" s="757"/>
      <c r="I764" s="754">
        <v>1628815</v>
      </c>
      <c r="J764" s="732" t="s">
        <v>496</v>
      </c>
      <c r="K764" s="760" t="s">
        <v>1587</v>
      </c>
      <c r="L764" s="761" t="s">
        <v>1587</v>
      </c>
    </row>
    <row r="765" spans="1:12" s="732" customFormat="1" ht="15">
      <c r="A765" s="753"/>
      <c r="B765" s="776" t="s">
        <v>907</v>
      </c>
      <c r="C765" s="754"/>
      <c r="D765" s="754"/>
      <c r="E765" s="755"/>
      <c r="F765" s="754"/>
      <c r="G765" s="836">
        <v>4146929</v>
      </c>
      <c r="H765" s="757"/>
      <c r="I765" s="754">
        <v>5184515</v>
      </c>
      <c r="J765" s="732" t="s">
        <v>497</v>
      </c>
      <c r="K765" s="760"/>
      <c r="L765" s="761"/>
    </row>
    <row r="766" spans="1:12" s="732" customFormat="1" ht="15">
      <c r="A766" s="753"/>
      <c r="B766" s="776" t="s">
        <v>1008</v>
      </c>
      <c r="C766" s="754"/>
      <c r="D766" s="754"/>
      <c r="E766" s="755" t="s">
        <v>1587</v>
      </c>
      <c r="F766" s="754"/>
      <c r="G766" s="836">
        <v>2537417</v>
      </c>
      <c r="H766" s="757"/>
      <c r="I766" s="754">
        <v>3617935</v>
      </c>
      <c r="K766" s="760"/>
      <c r="L766" s="761"/>
    </row>
    <row r="767" spans="1:12" s="732" customFormat="1" ht="15">
      <c r="A767" s="753"/>
      <c r="B767" s="776" t="s">
        <v>1692</v>
      </c>
      <c r="C767" s="754"/>
      <c r="D767" s="754"/>
      <c r="E767" s="755" t="s">
        <v>1587</v>
      </c>
      <c r="F767" s="754"/>
      <c r="G767" s="770">
        <v>0</v>
      </c>
      <c r="H767" s="757"/>
      <c r="I767" s="757">
        <v>-19216</v>
      </c>
      <c r="K767" s="760"/>
      <c r="L767" s="761"/>
    </row>
    <row r="768" spans="1:12" s="732" customFormat="1" ht="15">
      <c r="A768" s="753"/>
      <c r="B768" s="776" t="s">
        <v>612</v>
      </c>
      <c r="C768" s="754"/>
      <c r="D768" s="754"/>
      <c r="E768" s="755"/>
      <c r="F768" s="754"/>
      <c r="G768" s="836">
        <v>1358659</v>
      </c>
      <c r="H768" s="757"/>
      <c r="I768" s="754">
        <v>0</v>
      </c>
      <c r="J768" s="732" t="s">
        <v>501</v>
      </c>
      <c r="K768" s="760" t="s">
        <v>633</v>
      </c>
      <c r="L768" s="761"/>
    </row>
    <row r="769" spans="1:12" s="732" customFormat="1" ht="15.75" customHeight="1">
      <c r="A769" s="753"/>
      <c r="B769" s="853" t="s">
        <v>144</v>
      </c>
      <c r="C769" s="754"/>
      <c r="D769" s="754"/>
      <c r="E769" s="755"/>
      <c r="F769" s="754"/>
      <c r="G769" s="770">
        <v>8000</v>
      </c>
      <c r="H769" s="757"/>
      <c r="I769" s="757"/>
      <c r="K769" s="760" t="s">
        <v>1587</v>
      </c>
      <c r="L769" s="761"/>
    </row>
    <row r="770" spans="1:12" s="732" customFormat="1" ht="15.75" thickBot="1">
      <c r="A770" s="753"/>
      <c r="B770" s="795"/>
      <c r="C770" s="755"/>
      <c r="D770" s="755"/>
      <c r="E770" s="755"/>
      <c r="F770" s="755"/>
      <c r="G770" s="773">
        <f>SUM(G754:G769)</f>
        <v>33391207</v>
      </c>
      <c r="H770" s="781"/>
      <c r="I770" s="778">
        <f>SUM(I754:I768)</f>
        <v>37815652</v>
      </c>
      <c r="J770" s="865">
        <f>'Grap i&amp;E'!D17</f>
        <v>33391207</v>
      </c>
      <c r="K770" s="760" t="s">
        <v>1587</v>
      </c>
      <c r="L770" s="761"/>
    </row>
    <row r="771" spans="1:12" s="732" customFormat="1" ht="15.75" thickTop="1">
      <c r="A771" s="753"/>
      <c r="B771" s="795"/>
      <c r="C771" s="755"/>
      <c r="D771" s="755"/>
      <c r="E771" s="755"/>
      <c r="F771" s="755"/>
      <c r="G771" s="772"/>
      <c r="H771" s="781"/>
      <c r="I771" s="757"/>
      <c r="J771" s="865"/>
      <c r="K771" s="760"/>
      <c r="L771" s="761"/>
    </row>
    <row r="772" spans="1:12" s="732" customFormat="1" ht="15">
      <c r="A772" s="936" t="s">
        <v>1587</v>
      </c>
      <c r="B772" s="795" t="s">
        <v>39</v>
      </c>
      <c r="C772" s="755"/>
      <c r="D772" s="755"/>
      <c r="E772" s="755"/>
      <c r="F772" s="755"/>
      <c r="G772" s="772"/>
      <c r="H772" s="781"/>
      <c r="I772" s="757"/>
      <c r="J772" s="865"/>
      <c r="K772" s="760"/>
      <c r="L772" s="761"/>
    </row>
    <row r="773" spans="1:12" s="748" customFormat="1" ht="15">
      <c r="A773" s="731"/>
      <c r="B773" s="776" t="s">
        <v>670</v>
      </c>
      <c r="C773" s="754"/>
      <c r="D773" s="754"/>
      <c r="E773" s="732"/>
      <c r="F773" s="754"/>
      <c r="G773" s="836">
        <v>6352007</v>
      </c>
      <c r="H773" s="770"/>
      <c r="I773" s="836">
        <v>0</v>
      </c>
      <c r="J773" s="852"/>
      <c r="K773" s="760"/>
      <c r="L773" s="842"/>
    </row>
    <row r="774" spans="1:12" s="748" customFormat="1" ht="15">
      <c r="A774" s="731"/>
      <c r="B774" s="776" t="s">
        <v>671</v>
      </c>
      <c r="C774" s="754"/>
      <c r="D774" s="754"/>
      <c r="E774" s="732"/>
      <c r="F774" s="754"/>
      <c r="G774" s="836">
        <v>1218365</v>
      </c>
      <c r="H774" s="770"/>
      <c r="I774" s="836">
        <v>0</v>
      </c>
      <c r="J774" s="852"/>
      <c r="K774" s="760"/>
      <c r="L774" s="842"/>
    </row>
    <row r="775" spans="1:12" s="748" customFormat="1" ht="15">
      <c r="A775" s="731"/>
      <c r="B775" s="776" t="s">
        <v>77</v>
      </c>
      <c r="C775" s="754"/>
      <c r="D775" s="754"/>
      <c r="E775" s="732"/>
      <c r="F775" s="754"/>
      <c r="G775" s="836">
        <v>7207</v>
      </c>
      <c r="H775" s="770"/>
      <c r="I775" s="836">
        <v>0</v>
      </c>
      <c r="J775" s="852"/>
      <c r="K775" s="760"/>
      <c r="L775" s="842"/>
    </row>
    <row r="776" spans="1:12" s="748" customFormat="1" ht="15">
      <c r="A776" s="731"/>
      <c r="B776" s="776" t="s">
        <v>27</v>
      </c>
      <c r="C776" s="754"/>
      <c r="D776" s="754"/>
      <c r="E776" s="732"/>
      <c r="F776" s="754"/>
      <c r="G776" s="836">
        <v>77988</v>
      </c>
      <c r="H776" s="770"/>
      <c r="I776" s="836">
        <v>0</v>
      </c>
      <c r="J776" s="852"/>
      <c r="K776" s="760"/>
      <c r="L776" s="842"/>
    </row>
    <row r="777" spans="1:12" s="748" customFormat="1" ht="15">
      <c r="A777" s="731"/>
      <c r="B777" s="776" t="s">
        <v>78</v>
      </c>
      <c r="C777" s="754"/>
      <c r="D777" s="754"/>
      <c r="E777" s="732"/>
      <c r="F777" s="754"/>
      <c r="G777" s="836">
        <v>23999</v>
      </c>
      <c r="H777" s="770"/>
      <c r="I777" s="836">
        <v>0</v>
      </c>
      <c r="J777" s="852"/>
      <c r="K777" s="760"/>
      <c r="L777" s="842"/>
    </row>
    <row r="778" spans="1:12" s="748" customFormat="1" ht="15.75" thickBot="1">
      <c r="A778" s="731"/>
      <c r="B778" s="776"/>
      <c r="C778" s="754"/>
      <c r="D778" s="754"/>
      <c r="E778" s="732"/>
      <c r="F778" s="754"/>
      <c r="G778" s="773">
        <f>SUM(G773:G777)</f>
        <v>7679566</v>
      </c>
      <c r="H778" s="772"/>
      <c r="I778" s="1166">
        <f>SUM(I773:I777)</f>
        <v>0</v>
      </c>
      <c r="J778" s="852"/>
      <c r="K778" s="760"/>
      <c r="L778" s="842"/>
    </row>
    <row r="779" ht="9" customHeight="1" thickTop="1"/>
    <row r="780" spans="1:12" s="732" customFormat="1" ht="36.75" customHeight="1">
      <c r="A780" s="794"/>
      <c r="B780" s="776" t="s">
        <v>801</v>
      </c>
      <c r="C780" s="794"/>
      <c r="D780" s="794"/>
      <c r="E780" s="794"/>
      <c r="F780" s="794"/>
      <c r="G780" s="794"/>
      <c r="H780" s="794"/>
      <c r="I780" s="1175"/>
      <c r="K780" s="760"/>
      <c r="L780" s="761"/>
    </row>
    <row r="781" spans="1:12" s="732" customFormat="1" ht="15" customHeight="1">
      <c r="A781" s="794"/>
      <c r="B781" s="776"/>
      <c r="C781" s="794"/>
      <c r="D781" s="794"/>
      <c r="E781" s="794"/>
      <c r="F781" s="794"/>
      <c r="G781" s="794"/>
      <c r="H781" s="794"/>
      <c r="I781" s="1175"/>
      <c r="K781" s="760"/>
      <c r="L781" s="761"/>
    </row>
    <row r="782" spans="1:12" s="732" customFormat="1" ht="13.5" customHeight="1">
      <c r="A782" s="794"/>
      <c r="B782" s="776"/>
      <c r="C782" s="794"/>
      <c r="D782" s="794"/>
      <c r="E782" s="794"/>
      <c r="F782" s="794"/>
      <c r="G782" s="794"/>
      <c r="H782" s="794"/>
      <c r="I782" s="1175"/>
      <c r="K782" s="760"/>
      <c r="L782" s="761"/>
    </row>
    <row r="783" spans="1:12" s="732" customFormat="1" ht="15">
      <c r="A783" s="1271" t="s">
        <v>854</v>
      </c>
      <c r="B783" s="1271"/>
      <c r="C783" s="1271"/>
      <c r="D783" s="1271"/>
      <c r="E783" s="1271"/>
      <c r="F783" s="1271"/>
      <c r="G783" s="1271"/>
      <c r="H783" s="1271"/>
      <c r="I783" s="1271"/>
      <c r="K783" s="760"/>
      <c r="L783" s="761"/>
    </row>
    <row r="785" spans="1:12" s="732" customFormat="1" ht="15">
      <c r="A785" s="753">
        <v>20</v>
      </c>
      <c r="B785" s="795" t="s">
        <v>1431</v>
      </c>
      <c r="C785" s="754"/>
      <c r="D785" s="754"/>
      <c r="E785" s="755" t="s">
        <v>1587</v>
      </c>
      <c r="F785" s="754"/>
      <c r="G785" s="756"/>
      <c r="H785" s="757"/>
      <c r="I785" s="754"/>
      <c r="J785" s="732" t="s">
        <v>466</v>
      </c>
      <c r="K785" s="760"/>
      <c r="L785" s="761"/>
    </row>
    <row r="786" spans="1:12" s="732" customFormat="1" ht="9" customHeight="1">
      <c r="A786" s="753"/>
      <c r="B786" s="795"/>
      <c r="C786" s="754"/>
      <c r="D786" s="754"/>
      <c r="E786" s="755"/>
      <c r="F786" s="754"/>
      <c r="G786" s="756"/>
      <c r="H786" s="757"/>
      <c r="I786" s="754"/>
      <c r="K786" s="760"/>
      <c r="L786" s="761"/>
    </row>
    <row r="787" spans="1:12" s="732" customFormat="1" ht="15">
      <c r="A787" s="753"/>
      <c r="B787" s="776" t="s">
        <v>1009</v>
      </c>
      <c r="C787" s="754"/>
      <c r="D787" s="754"/>
      <c r="E787" s="755" t="s">
        <v>1587</v>
      </c>
      <c r="F787" s="754"/>
      <c r="G787" s="756">
        <v>189891863</v>
      </c>
      <c r="H787" s="757"/>
      <c r="I787" s="758">
        <f>173978846+160749</f>
        <v>174139595</v>
      </c>
      <c r="J787" s="732" t="s">
        <v>473</v>
      </c>
      <c r="K787" s="760"/>
      <c r="L787" s="761"/>
    </row>
    <row r="788" spans="1:12" s="732" customFormat="1" ht="15">
      <c r="A788" s="753"/>
      <c r="B788" s="776" t="s">
        <v>1010</v>
      </c>
      <c r="C788" s="754"/>
      <c r="D788" s="754"/>
      <c r="E788" s="755" t="s">
        <v>1587</v>
      </c>
      <c r="F788" s="754"/>
      <c r="G788" s="756">
        <v>44508171</v>
      </c>
      <c r="H788" s="757"/>
      <c r="I788" s="758">
        <f>43335800-2690748</f>
        <v>40645052</v>
      </c>
      <c r="J788" s="732" t="s">
        <v>469</v>
      </c>
      <c r="K788" s="760"/>
      <c r="L788" s="761"/>
    </row>
    <row r="789" spans="1:12" s="732" customFormat="1" ht="15">
      <c r="A789" s="753"/>
      <c r="B789" s="1273" t="s">
        <v>1434</v>
      </c>
      <c r="C789" s="1276"/>
      <c r="D789" s="1276"/>
      <c r="E789" s="755" t="s">
        <v>1587</v>
      </c>
      <c r="F789" s="754"/>
      <c r="G789" s="756">
        <v>24507127</v>
      </c>
      <c r="H789" s="757"/>
      <c r="I789" s="758">
        <v>22953102</v>
      </c>
      <c r="J789" s="732" t="s">
        <v>467</v>
      </c>
      <c r="K789" s="760"/>
      <c r="L789" s="761"/>
    </row>
    <row r="790" spans="1:12" s="732" customFormat="1" ht="15">
      <c r="A790" s="753"/>
      <c r="B790" s="776" t="s">
        <v>1435</v>
      </c>
      <c r="C790" s="754"/>
      <c r="D790" s="754"/>
      <c r="E790" s="755"/>
      <c r="F790" s="754"/>
      <c r="G790" s="756">
        <v>2751808</v>
      </c>
      <c r="H790" s="757"/>
      <c r="I790" s="758">
        <v>2366010</v>
      </c>
      <c r="J790" s="732" t="s">
        <v>468</v>
      </c>
      <c r="K790" s="760"/>
      <c r="L790" s="761"/>
    </row>
    <row r="791" spans="1:12" s="732" customFormat="1" ht="15">
      <c r="A791" s="753"/>
      <c r="B791" s="776" t="s">
        <v>1436</v>
      </c>
      <c r="C791" s="754"/>
      <c r="D791" s="754"/>
      <c r="E791" s="755"/>
      <c r="F791" s="754"/>
      <c r="G791" s="756">
        <v>16721352</v>
      </c>
      <c r="H791" s="757"/>
      <c r="I791" s="758">
        <v>18603706</v>
      </c>
      <c r="J791" s="732" t="s">
        <v>470</v>
      </c>
      <c r="K791" s="760"/>
      <c r="L791" s="761"/>
    </row>
    <row r="792" spans="1:12" s="732" customFormat="1" ht="15">
      <c r="A792" s="753"/>
      <c r="B792" s="776" t="s">
        <v>472</v>
      </c>
      <c r="C792" s="754"/>
      <c r="D792" s="754"/>
      <c r="E792" s="755" t="s">
        <v>1587</v>
      </c>
      <c r="F792" s="754"/>
      <c r="G792" s="762">
        <v>13403236</v>
      </c>
      <c r="H792" s="757"/>
      <c r="I792" s="763">
        <v>12596502</v>
      </c>
      <c r="J792" s="732" t="s">
        <v>471</v>
      </c>
      <c r="K792" s="866" t="s">
        <v>661</v>
      </c>
      <c r="L792" s="761"/>
    </row>
    <row r="793" spans="1:12" s="732" customFormat="1" ht="15">
      <c r="A793" s="753"/>
      <c r="B793" s="776"/>
      <c r="C793" s="754"/>
      <c r="D793" s="754"/>
      <c r="E793" s="755"/>
      <c r="F793" s="754"/>
      <c r="G793" s="756">
        <f>SUM(G787:G792)</f>
        <v>291783557</v>
      </c>
      <c r="H793" s="757"/>
      <c r="I793" s="758">
        <f>SUM(I787:I792)</f>
        <v>271303967</v>
      </c>
      <c r="J793" s="852">
        <f>'Grap i&amp;E'!D25</f>
        <v>291783557</v>
      </c>
      <c r="K793" s="760">
        <f>'Grap i&amp;E'!F25</f>
        <v>271303967</v>
      </c>
      <c r="L793" s="761"/>
    </row>
    <row r="794" spans="1:12" s="732" customFormat="1" ht="15">
      <c r="A794" s="753"/>
      <c r="B794" s="1273" t="s">
        <v>1229</v>
      </c>
      <c r="C794" s="1276"/>
      <c r="D794" s="1276"/>
      <c r="E794" s="1276"/>
      <c r="F794" s="754"/>
      <c r="G794" s="756">
        <v>-1376285</v>
      </c>
      <c r="H794" s="757"/>
      <c r="I794" s="756">
        <v>-1305712</v>
      </c>
      <c r="J794" s="732" t="s">
        <v>366</v>
      </c>
      <c r="K794" s="760">
        <f>I793-K793</f>
        <v>0</v>
      </c>
      <c r="L794" s="761"/>
    </row>
    <row r="795" spans="1:12" s="732" customFormat="1" ht="9" customHeight="1">
      <c r="A795" s="753"/>
      <c r="B795" s="776"/>
      <c r="C795" s="754"/>
      <c r="D795" s="754"/>
      <c r="E795" s="755"/>
      <c r="F795" s="754"/>
      <c r="G795" s="756"/>
      <c r="H795" s="757"/>
      <c r="I795" s="756"/>
      <c r="J795" s="861">
        <f>'Grap i&amp;E'!D37</f>
        <v>-1376285</v>
      </c>
      <c r="K795" s="760">
        <f>K794+2690748</f>
        <v>2690748</v>
      </c>
      <c r="L795" s="761"/>
    </row>
    <row r="796" spans="1:12" s="732" customFormat="1" ht="15.75" thickBot="1">
      <c r="A796" s="753"/>
      <c r="B796" s="795"/>
      <c r="C796" s="754" t="s">
        <v>1587</v>
      </c>
      <c r="D796" s="754"/>
      <c r="E796" s="755"/>
      <c r="F796" s="754"/>
      <c r="G796" s="771">
        <f>SUM(G793:G794)</f>
        <v>290407272</v>
      </c>
      <c r="H796" s="757"/>
      <c r="I796" s="771">
        <f>SUM(I793:I794)</f>
        <v>269998255</v>
      </c>
      <c r="K796" s="761"/>
      <c r="L796" s="761"/>
    </row>
    <row r="797" spans="1:12" s="732" customFormat="1" ht="9" customHeight="1" thickTop="1">
      <c r="A797" s="753"/>
      <c r="B797" s="776"/>
      <c r="C797" s="776"/>
      <c r="D797" s="776"/>
      <c r="E797" s="776"/>
      <c r="F797" s="776"/>
      <c r="G797" s="776"/>
      <c r="H797" s="776"/>
      <c r="I797" s="776"/>
      <c r="K797" s="760"/>
      <c r="L797" s="761"/>
    </row>
    <row r="798" spans="1:12" s="732" customFormat="1" ht="15">
      <c r="A798" s="753"/>
      <c r="B798" s="795" t="s">
        <v>1016</v>
      </c>
      <c r="C798" s="754"/>
      <c r="D798" s="754"/>
      <c r="E798" s="755"/>
      <c r="F798" s="754"/>
      <c r="G798" s="756"/>
      <c r="H798" s="757"/>
      <c r="I798" s="754"/>
      <c r="J798" s="732" t="s">
        <v>466</v>
      </c>
      <c r="K798" s="760"/>
      <c r="L798" s="761"/>
    </row>
    <row r="799" spans="1:12" s="732" customFormat="1" ht="9" customHeight="1">
      <c r="A799" s="753"/>
      <c r="B799" s="806"/>
      <c r="C799" s="754"/>
      <c r="D799" s="754"/>
      <c r="E799" s="755"/>
      <c r="F799" s="754"/>
      <c r="G799" s="756"/>
      <c r="H799" s="757"/>
      <c r="I799" s="754"/>
      <c r="K799" s="760"/>
      <c r="L799" s="761"/>
    </row>
    <row r="800" spans="1:12" s="732" customFormat="1" ht="15">
      <c r="A800" s="753"/>
      <c r="B800" s="776" t="s">
        <v>1011</v>
      </c>
      <c r="C800" s="754"/>
      <c r="D800" s="754"/>
      <c r="E800" s="755"/>
      <c r="F800" s="754"/>
      <c r="G800" s="756">
        <v>900222</v>
      </c>
      <c r="H800" s="757"/>
      <c r="I800" s="758">
        <v>806179</v>
      </c>
      <c r="J800" s="732" t="s">
        <v>772</v>
      </c>
      <c r="K800" s="760"/>
      <c r="L800" s="761"/>
    </row>
    <row r="801" spans="1:12" s="732" customFormat="1" ht="15">
      <c r="A801" s="753"/>
      <c r="B801" s="776" t="s">
        <v>1013</v>
      </c>
      <c r="C801" s="754"/>
      <c r="D801" s="754"/>
      <c r="E801" s="755"/>
      <c r="F801" s="754"/>
      <c r="G801" s="756">
        <v>106800</v>
      </c>
      <c r="H801" s="757"/>
      <c r="I801" s="758">
        <v>106800</v>
      </c>
      <c r="K801" s="760"/>
      <c r="L801" s="761"/>
    </row>
    <row r="802" spans="1:12" s="732" customFormat="1" ht="15">
      <c r="A802" s="753"/>
      <c r="B802" s="776" t="s">
        <v>1014</v>
      </c>
      <c r="C802" s="754"/>
      <c r="D802" s="754"/>
      <c r="E802" s="755"/>
      <c r="F802" s="754"/>
      <c r="G802" s="765">
        <v>68943</v>
      </c>
      <c r="H802" s="757"/>
      <c r="I802" s="764">
        <v>32590</v>
      </c>
      <c r="K802" s="760"/>
      <c r="L802" s="761"/>
    </row>
    <row r="803" spans="1:12" s="732" customFormat="1" ht="9.75" customHeight="1">
      <c r="A803" s="753"/>
      <c r="B803" s="776"/>
      <c r="C803" s="754"/>
      <c r="D803" s="754"/>
      <c r="E803" s="755"/>
      <c r="F803" s="754"/>
      <c r="G803" s="765"/>
      <c r="H803" s="757"/>
      <c r="I803" s="764"/>
      <c r="K803" s="760"/>
      <c r="L803" s="761"/>
    </row>
    <row r="804" spans="1:12" s="732" customFormat="1" ht="15.75" thickBot="1">
      <c r="A804" s="753"/>
      <c r="B804" s="795"/>
      <c r="C804" s="754"/>
      <c r="D804" s="754"/>
      <c r="E804" s="755"/>
      <c r="F804" s="754"/>
      <c r="G804" s="771">
        <f>SUM(G800:G802)</f>
        <v>1075965</v>
      </c>
      <c r="H804" s="757"/>
      <c r="I804" s="779">
        <v>945569</v>
      </c>
      <c r="J804" s="732" t="s">
        <v>491</v>
      </c>
      <c r="K804" s="760"/>
      <c r="L804" s="761"/>
    </row>
    <row r="805" ht="9" customHeight="1" thickTop="1"/>
    <row r="806" spans="1:12" s="732" customFormat="1" ht="15">
      <c r="A806" s="753"/>
      <c r="B806" s="795" t="s">
        <v>1015</v>
      </c>
      <c r="C806" s="754"/>
      <c r="D806" s="754"/>
      <c r="E806" s="755"/>
      <c r="F806" s="754"/>
      <c r="G806" s="756"/>
      <c r="H806" s="757"/>
      <c r="I806" s="754"/>
      <c r="K806" s="760"/>
      <c r="L806" s="761"/>
    </row>
    <row r="807" spans="1:12" s="732" customFormat="1" ht="9" customHeight="1">
      <c r="A807" s="753"/>
      <c r="B807" s="795"/>
      <c r="C807" s="754"/>
      <c r="D807" s="754"/>
      <c r="E807" s="755"/>
      <c r="F807" s="754"/>
      <c r="G807" s="756"/>
      <c r="H807" s="757"/>
      <c r="I807" s="754"/>
      <c r="K807" s="760"/>
      <c r="L807" s="761"/>
    </row>
    <row r="808" spans="1:12" s="732" customFormat="1" ht="15">
      <c r="A808" s="753"/>
      <c r="B808" s="776" t="s">
        <v>1011</v>
      </c>
      <c r="C808" s="754"/>
      <c r="D808" s="754"/>
      <c r="E808" s="755"/>
      <c r="F808" s="754"/>
      <c r="G808" s="756">
        <v>649158</v>
      </c>
      <c r="H808" s="757"/>
      <c r="I808" s="758">
        <v>591913</v>
      </c>
      <c r="K808" s="760"/>
      <c r="L808" s="761"/>
    </row>
    <row r="809" spans="1:12" s="732" customFormat="1" ht="15">
      <c r="A809" s="753"/>
      <c r="B809" s="776" t="s">
        <v>1012</v>
      </c>
      <c r="C809" s="754"/>
      <c r="D809" s="754"/>
      <c r="E809" s="755"/>
      <c r="F809" s="754"/>
      <c r="G809" s="756">
        <v>114610</v>
      </c>
      <c r="H809" s="757"/>
      <c r="I809" s="758">
        <v>88905</v>
      </c>
      <c r="K809" s="760"/>
      <c r="L809" s="761"/>
    </row>
    <row r="810" spans="1:12" s="732" customFormat="1" ht="15">
      <c r="A810" s="753"/>
      <c r="B810" s="776" t="s">
        <v>1013</v>
      </c>
      <c r="C810" s="754"/>
      <c r="D810" s="754"/>
      <c r="E810" s="755"/>
      <c r="F810" s="754"/>
      <c r="G810" s="756">
        <v>220000</v>
      </c>
      <c r="H810" s="757"/>
      <c r="I810" s="758">
        <v>210500</v>
      </c>
      <c r="K810" s="760"/>
      <c r="L810" s="761"/>
    </row>
    <row r="811" spans="1:12" s="732" customFormat="1" ht="15">
      <c r="A811" s="753"/>
      <c r="B811" s="776" t="s">
        <v>1014</v>
      </c>
      <c r="C811" s="754"/>
      <c r="D811" s="754"/>
      <c r="E811" s="755"/>
      <c r="F811" s="754"/>
      <c r="G811" s="765">
        <v>87422</v>
      </c>
      <c r="H811" s="757"/>
      <c r="I811" s="764">
        <v>39492</v>
      </c>
      <c r="K811" s="760"/>
      <c r="L811" s="761"/>
    </row>
    <row r="812" spans="1:12" s="732" customFormat="1" ht="9" customHeight="1">
      <c r="A812" s="753"/>
      <c r="B812" s="776"/>
      <c r="C812" s="754"/>
      <c r="D812" s="754"/>
      <c r="E812" s="755"/>
      <c r="F812" s="754"/>
      <c r="G812" s="765"/>
      <c r="H812" s="757"/>
      <c r="I812" s="764"/>
      <c r="K812" s="760"/>
      <c r="L812" s="761"/>
    </row>
    <row r="813" spans="1:12" s="732" customFormat="1" ht="15.75" thickBot="1">
      <c r="A813" s="753"/>
      <c r="B813" s="795"/>
      <c r="C813" s="754"/>
      <c r="D813" s="754"/>
      <c r="E813" s="755"/>
      <c r="F813" s="754"/>
      <c r="G813" s="771">
        <f>SUM(G808:G811)</f>
        <v>1071190</v>
      </c>
      <c r="H813" s="757"/>
      <c r="I813" s="779">
        <v>930810</v>
      </c>
      <c r="J813" s="732" t="s">
        <v>491</v>
      </c>
      <c r="K813" s="760"/>
      <c r="L813" s="761"/>
    </row>
    <row r="814" spans="1:12" s="732" customFormat="1" ht="9" customHeight="1" thickTop="1">
      <c r="A814" s="753"/>
      <c r="B814" s="795"/>
      <c r="C814" s="754"/>
      <c r="D814" s="754"/>
      <c r="E814" s="755"/>
      <c r="F814" s="754"/>
      <c r="G814" s="780"/>
      <c r="H814" s="757"/>
      <c r="I814" s="764"/>
      <c r="K814" s="760"/>
      <c r="L814" s="761"/>
    </row>
    <row r="815" spans="1:12" s="732" customFormat="1" ht="15">
      <c r="A815" s="753"/>
      <c r="B815" s="795" t="s">
        <v>600</v>
      </c>
      <c r="C815" s="754"/>
      <c r="D815" s="754"/>
      <c r="E815" s="867"/>
      <c r="F815" s="867"/>
      <c r="G815" s="868"/>
      <c r="H815" s="781"/>
      <c r="I815" s="1177"/>
      <c r="K815" s="760"/>
      <c r="L815" s="761"/>
    </row>
    <row r="816" spans="1:12" s="732" customFormat="1" ht="9.75" customHeight="1">
      <c r="A816" s="753"/>
      <c r="B816" s="795"/>
      <c r="C816" s="754"/>
      <c r="D816" s="754"/>
      <c r="E816" s="867"/>
      <c r="F816" s="867"/>
      <c r="G816" s="868"/>
      <c r="H816" s="781"/>
      <c r="I816" s="1177"/>
      <c r="K816" s="760"/>
      <c r="L816" s="761"/>
    </row>
    <row r="817" spans="1:12" s="732" customFormat="1" ht="15">
      <c r="A817" s="753"/>
      <c r="B817" s="776" t="s">
        <v>1011</v>
      </c>
      <c r="C817" s="754"/>
      <c r="D817" s="754"/>
      <c r="E817" s="781"/>
      <c r="F817" s="757"/>
      <c r="G817" s="836">
        <f>818426+14855</f>
        <v>833281</v>
      </c>
      <c r="H817" s="757"/>
      <c r="I817" s="754">
        <f>466414+84600</f>
        <v>551014</v>
      </c>
      <c r="K817" s="760"/>
      <c r="L817" s="761"/>
    </row>
    <row r="818" spans="1:12" s="732" customFormat="1" ht="15">
      <c r="A818" s="753"/>
      <c r="B818" s="776" t="s">
        <v>1012</v>
      </c>
      <c r="C818" s="754"/>
      <c r="D818" s="754"/>
      <c r="E818" s="781"/>
      <c r="F818" s="757"/>
      <c r="G818" s="836">
        <f>114610+64615</f>
        <v>179225</v>
      </c>
      <c r="H818" s="757"/>
      <c r="I818" s="754">
        <v>0</v>
      </c>
      <c r="K818" s="760"/>
      <c r="L818" s="761"/>
    </row>
    <row r="819" spans="1:12" s="732" customFormat="1" ht="15">
      <c r="A819" s="753"/>
      <c r="B819" s="776" t="s">
        <v>1013</v>
      </c>
      <c r="C819" s="754"/>
      <c r="D819" s="754"/>
      <c r="E819" s="781"/>
      <c r="F819" s="757"/>
      <c r="G819" s="836">
        <v>72000</v>
      </c>
      <c r="H819" s="757"/>
      <c r="I819" s="754">
        <v>60000</v>
      </c>
      <c r="K819" s="760"/>
      <c r="L819" s="761"/>
    </row>
    <row r="820" spans="1:12" s="732" customFormat="1" ht="15">
      <c r="A820" s="753"/>
      <c r="B820" s="776" t="s">
        <v>1014</v>
      </c>
      <c r="C820" s="754"/>
      <c r="D820" s="754"/>
      <c r="E820" s="781"/>
      <c r="F820" s="757"/>
      <c r="G820" s="770">
        <v>1539</v>
      </c>
      <c r="H820" s="757"/>
      <c r="I820" s="757">
        <v>1115</v>
      </c>
      <c r="K820" s="760"/>
      <c r="L820" s="761"/>
    </row>
    <row r="821" spans="1:12" s="732" customFormat="1" ht="9" customHeight="1">
      <c r="A821" s="753"/>
      <c r="B821" s="776"/>
      <c r="C821" s="754"/>
      <c r="D821" s="754"/>
      <c r="E821" s="781"/>
      <c r="F821" s="757"/>
      <c r="G821" s="770"/>
      <c r="H821" s="757"/>
      <c r="I821" s="757"/>
      <c r="K821" s="760"/>
      <c r="L821" s="761"/>
    </row>
    <row r="822" spans="1:12" s="732" customFormat="1" ht="15.75" thickBot="1">
      <c r="A822" s="753"/>
      <c r="B822" s="795"/>
      <c r="C822" s="754"/>
      <c r="D822" s="754"/>
      <c r="E822" s="781"/>
      <c r="F822" s="757"/>
      <c r="G822" s="773">
        <f>SUM(G817:G820)</f>
        <v>1086045</v>
      </c>
      <c r="H822" s="757"/>
      <c r="I822" s="778">
        <f>SUM(I817:I821)</f>
        <v>612129</v>
      </c>
      <c r="J822" s="732" t="s">
        <v>491</v>
      </c>
      <c r="K822" s="760"/>
      <c r="L822" s="761"/>
    </row>
    <row r="823" spans="1:12" s="732" customFormat="1" ht="9" customHeight="1" thickTop="1">
      <c r="A823" s="753"/>
      <c r="B823" s="755"/>
      <c r="C823" s="755"/>
      <c r="D823" s="755"/>
      <c r="E823" s="755"/>
      <c r="F823" s="755"/>
      <c r="G823" s="796"/>
      <c r="H823" s="781"/>
      <c r="I823" s="754"/>
      <c r="K823" s="760"/>
      <c r="L823" s="761"/>
    </row>
    <row r="824" spans="1:12" s="732" customFormat="1" ht="15">
      <c r="A824" s="753"/>
      <c r="B824" s="795" t="s">
        <v>1230</v>
      </c>
      <c r="C824" s="754"/>
      <c r="D824" s="754"/>
      <c r="E824" s="867"/>
      <c r="F824" s="867"/>
      <c r="G824" s="868"/>
      <c r="H824" s="781"/>
      <c r="I824" s="1177"/>
      <c r="K824" s="760"/>
      <c r="L824" s="761"/>
    </row>
    <row r="825" spans="1:12" s="732" customFormat="1" ht="9" customHeight="1">
      <c r="A825" s="753"/>
      <c r="B825" s="795"/>
      <c r="C825" s="754"/>
      <c r="D825" s="754"/>
      <c r="E825" s="867"/>
      <c r="F825" s="867"/>
      <c r="G825" s="868"/>
      <c r="H825" s="781"/>
      <c r="I825" s="1177"/>
      <c r="K825" s="760"/>
      <c r="L825" s="761"/>
    </row>
    <row r="826" spans="1:12" s="732" customFormat="1" ht="15">
      <c r="A826" s="753"/>
      <c r="B826" s="776" t="s">
        <v>1011</v>
      </c>
      <c r="C826" s="754"/>
      <c r="D826" s="754"/>
      <c r="E826" s="781"/>
      <c r="F826" s="757"/>
      <c r="G826" s="756">
        <v>3413090</v>
      </c>
      <c r="H826" s="757"/>
      <c r="I826" s="758">
        <f>3770366-I817</f>
        <v>3219352</v>
      </c>
      <c r="K826" s="760"/>
      <c r="L826" s="761"/>
    </row>
    <row r="827" spans="1:12" s="732" customFormat="1" ht="15">
      <c r="A827" s="753"/>
      <c r="B827" s="776" t="s">
        <v>1012</v>
      </c>
      <c r="C827" s="754"/>
      <c r="D827" s="754"/>
      <c r="E827" s="781"/>
      <c r="F827" s="757"/>
      <c r="G827" s="756">
        <v>409320</v>
      </c>
      <c r="H827" s="757"/>
      <c r="I827" s="758">
        <v>370115</v>
      </c>
      <c r="K827" s="760"/>
      <c r="L827" s="761"/>
    </row>
    <row r="828" spans="1:12" s="732" customFormat="1" ht="15">
      <c r="A828" s="753"/>
      <c r="B828" s="776" t="s">
        <v>1013</v>
      </c>
      <c r="C828" s="754"/>
      <c r="D828" s="754"/>
      <c r="E828" s="781"/>
      <c r="F828" s="757"/>
      <c r="G828" s="756">
        <v>834500</v>
      </c>
      <c r="H828" s="757"/>
      <c r="I828" s="758">
        <f>1031376-I819</f>
        <v>971376</v>
      </c>
      <c r="K828" s="760"/>
      <c r="L828" s="761"/>
    </row>
    <row r="829" spans="1:12" s="732" customFormat="1" ht="15">
      <c r="A829" s="753"/>
      <c r="B829" s="776" t="s">
        <v>1014</v>
      </c>
      <c r="C829" s="754"/>
      <c r="D829" s="754"/>
      <c r="E829" s="781"/>
      <c r="F829" s="757"/>
      <c r="G829" s="765">
        <v>139321</v>
      </c>
      <c r="H829" s="757"/>
      <c r="I829" s="764">
        <f>105750-I820</f>
        <v>104635</v>
      </c>
      <c r="K829" s="760"/>
      <c r="L829" s="761"/>
    </row>
    <row r="830" spans="1:12" s="732" customFormat="1" ht="9" customHeight="1">
      <c r="A830" s="753"/>
      <c r="B830" s="776"/>
      <c r="C830" s="754"/>
      <c r="D830" s="754"/>
      <c r="E830" s="781"/>
      <c r="F830" s="757"/>
      <c r="G830" s="765"/>
      <c r="H830" s="757"/>
      <c r="I830" s="764"/>
      <c r="K830" s="760"/>
      <c r="L830" s="761"/>
    </row>
    <row r="831" spans="1:12" s="732" customFormat="1" ht="15" customHeight="1" thickBot="1">
      <c r="A831" s="753"/>
      <c r="B831" s="795"/>
      <c r="C831" s="754"/>
      <c r="D831" s="754"/>
      <c r="E831" s="781"/>
      <c r="F831" s="757"/>
      <c r="G831" s="771">
        <f>SUM(G826:G829)</f>
        <v>4796231</v>
      </c>
      <c r="H831" s="757"/>
      <c r="I831" s="779">
        <f>SUM(I826:I830)</f>
        <v>4665478</v>
      </c>
      <c r="J831" s="732" t="s">
        <v>491</v>
      </c>
      <c r="K831" s="760"/>
      <c r="L831" s="761"/>
    </row>
    <row r="832" spans="1:12" s="732" customFormat="1" ht="9" customHeight="1" thickTop="1">
      <c r="A832" s="753"/>
      <c r="B832" s="795"/>
      <c r="C832" s="754"/>
      <c r="D832" s="754"/>
      <c r="E832" s="781"/>
      <c r="F832" s="757"/>
      <c r="G832" s="765"/>
      <c r="H832" s="757"/>
      <c r="I832" s="757"/>
      <c r="K832" s="760"/>
      <c r="L832" s="761"/>
    </row>
    <row r="833" spans="1:12" s="732" customFormat="1" ht="15">
      <c r="A833" s="753">
        <v>21</v>
      </c>
      <c r="B833" s="795" t="s">
        <v>1068</v>
      </c>
      <c r="C833" s="754"/>
      <c r="D833" s="754"/>
      <c r="E833" s="755"/>
      <c r="F833" s="754"/>
      <c r="G833" s="756"/>
      <c r="H833" s="757"/>
      <c r="I833" s="754"/>
      <c r="J833" s="732" t="s">
        <v>466</v>
      </c>
      <c r="K833" s="760"/>
      <c r="L833" s="761"/>
    </row>
    <row r="834" spans="1:12" s="732" customFormat="1" ht="9" customHeight="1">
      <c r="A834" s="753"/>
      <c r="B834" s="795"/>
      <c r="C834" s="754"/>
      <c r="D834" s="754"/>
      <c r="E834" s="755"/>
      <c r="F834" s="754"/>
      <c r="G834" s="756"/>
      <c r="H834" s="757"/>
      <c r="I834" s="754"/>
      <c r="K834" s="760"/>
      <c r="L834" s="761"/>
    </row>
    <row r="835" spans="1:12" s="732" customFormat="1" ht="15">
      <c r="A835" s="753"/>
      <c r="B835" s="776" t="s">
        <v>1017</v>
      </c>
      <c r="C835" s="754"/>
      <c r="D835" s="754"/>
      <c r="F835" s="754"/>
      <c r="G835" s="756">
        <v>510218</v>
      </c>
      <c r="H835" s="757"/>
      <c r="I835" s="758">
        <v>461979</v>
      </c>
      <c r="J835" s="732" t="s">
        <v>491</v>
      </c>
      <c r="K835" s="760">
        <v>52061</v>
      </c>
      <c r="L835" s="761"/>
    </row>
    <row r="836" spans="1:12" s="732" customFormat="1" ht="15">
      <c r="A836" s="753"/>
      <c r="B836" s="776" t="s">
        <v>1456</v>
      </c>
      <c r="C836" s="754"/>
      <c r="D836" s="754"/>
      <c r="F836" s="754"/>
      <c r="G836" s="756">
        <v>399606</v>
      </c>
      <c r="H836" s="757"/>
      <c r="I836" s="758">
        <v>361791</v>
      </c>
      <c r="J836" s="732" t="s">
        <v>340</v>
      </c>
      <c r="K836" s="760">
        <v>40771</v>
      </c>
      <c r="L836" s="761"/>
    </row>
    <row r="837" spans="1:12" s="732" customFormat="1" ht="15">
      <c r="A837" s="753"/>
      <c r="B837" s="776" t="s">
        <v>1018</v>
      </c>
      <c r="C837" s="754"/>
      <c r="D837" s="754"/>
      <c r="F837" s="754"/>
      <c r="G837" s="756">
        <v>4103523</v>
      </c>
      <c r="H837" s="757"/>
      <c r="I837" s="758">
        <v>3399734</v>
      </c>
      <c r="K837" s="760">
        <v>383124</v>
      </c>
      <c r="L837" s="761"/>
    </row>
    <row r="838" spans="1:12" s="732" customFormat="1" ht="15">
      <c r="A838" s="753"/>
      <c r="B838" s="776" t="s">
        <v>1061</v>
      </c>
      <c r="C838" s="754"/>
      <c r="D838" s="754"/>
      <c r="F838" s="754"/>
      <c r="G838" s="756">
        <v>7844628</v>
      </c>
      <c r="H838" s="757"/>
      <c r="I838" s="758">
        <v>7408687</v>
      </c>
      <c r="J838" s="861">
        <f>'Grap i&amp;E'!F26</f>
        <v>12943049</v>
      </c>
      <c r="K838" s="760">
        <v>834902</v>
      </c>
      <c r="L838" s="761"/>
    </row>
    <row r="839" spans="1:12" s="732" customFormat="1" ht="15">
      <c r="A839" s="753"/>
      <c r="B839" s="776" t="s">
        <v>246</v>
      </c>
      <c r="C839" s="754"/>
      <c r="D839" s="754"/>
      <c r="F839" s="754"/>
      <c r="G839" s="765">
        <v>1387781</v>
      </c>
      <c r="H839" s="757"/>
      <c r="I839" s="764">
        <v>1310858</v>
      </c>
      <c r="J839" s="852" t="s">
        <v>1587</v>
      </c>
      <c r="K839" s="760">
        <v>0</v>
      </c>
      <c r="L839" s="761"/>
    </row>
    <row r="840" spans="1:12" s="732" customFormat="1" ht="9" customHeight="1">
      <c r="A840" s="753"/>
      <c r="B840" s="776"/>
      <c r="C840" s="754"/>
      <c r="D840" s="754"/>
      <c r="F840" s="754"/>
      <c r="G840" s="765"/>
      <c r="H840" s="757"/>
      <c r="I840" s="764"/>
      <c r="K840" s="760"/>
      <c r="L840" s="761"/>
    </row>
    <row r="841" spans="1:12" s="732" customFormat="1" ht="15.75" thickBot="1">
      <c r="A841" s="753"/>
      <c r="B841" s="795"/>
      <c r="C841" s="755"/>
      <c r="D841" s="755"/>
      <c r="F841" s="755"/>
      <c r="G841" s="771">
        <f>SUM(G835:G839)</f>
        <v>14245756</v>
      </c>
      <c r="H841" s="781"/>
      <c r="I841" s="779">
        <v>12943049</v>
      </c>
      <c r="J841" s="852">
        <f>'Grap i&amp;E'!D26</f>
        <v>14245756</v>
      </c>
      <c r="K841" s="760">
        <v>1310859</v>
      </c>
      <c r="L841" s="761"/>
    </row>
    <row r="842" spans="1:12" s="821" customFormat="1" ht="9" customHeight="1" thickTop="1">
      <c r="A842" s="794"/>
      <c r="B842" s="794"/>
      <c r="C842" s="794"/>
      <c r="D842" s="794"/>
      <c r="E842" s="794"/>
      <c r="F842" s="794"/>
      <c r="G842" s="794"/>
      <c r="H842" s="794"/>
      <c r="I842" s="1175"/>
      <c r="K842" s="822"/>
      <c r="L842" s="823"/>
    </row>
    <row r="843" spans="1:12" s="732" customFormat="1" ht="15">
      <c r="A843" s="753"/>
      <c r="B843" s="806" t="s">
        <v>1231</v>
      </c>
      <c r="C843" s="754"/>
      <c r="D843" s="754"/>
      <c r="E843" s="755"/>
      <c r="F843" s="754"/>
      <c r="G843" s="756"/>
      <c r="H843" s="757"/>
      <c r="I843" s="754"/>
      <c r="K843" s="760"/>
      <c r="L843" s="761"/>
    </row>
    <row r="844" spans="1:12" s="732" customFormat="1" ht="35.25" customHeight="1">
      <c r="A844" s="753"/>
      <c r="B844" s="1274" t="s">
        <v>807</v>
      </c>
      <c r="C844" s="1275"/>
      <c r="D844" s="1275"/>
      <c r="E844" s="1275"/>
      <c r="F844" s="776"/>
      <c r="G844" s="776"/>
      <c r="H844" s="776"/>
      <c r="I844" s="776"/>
      <c r="K844" s="760"/>
      <c r="L844" s="761"/>
    </row>
    <row r="845" spans="2:9" ht="36" customHeight="1">
      <c r="B845" s="1274" t="s">
        <v>1069</v>
      </c>
      <c r="C845" s="1275"/>
      <c r="D845" s="1275"/>
      <c r="E845" s="1275"/>
      <c r="F845" s="776"/>
      <c r="G845" s="776"/>
      <c r="H845" s="776"/>
      <c r="I845" s="776"/>
    </row>
    <row r="846" ht="9" customHeight="1"/>
    <row r="847" spans="1:12" s="732" customFormat="1" ht="15">
      <c r="A847" s="753">
        <v>22</v>
      </c>
      <c r="B847" s="795" t="s">
        <v>1465</v>
      </c>
      <c r="C847" s="754"/>
      <c r="D847" s="754"/>
      <c r="E847" s="755"/>
      <c r="F847" s="754"/>
      <c r="G847" s="756"/>
      <c r="H847" s="757"/>
      <c r="I847" s="754"/>
      <c r="J847" s="732" t="s">
        <v>460</v>
      </c>
      <c r="K847" s="760"/>
      <c r="L847" s="761"/>
    </row>
    <row r="848" spans="1:12" s="732" customFormat="1" ht="9" customHeight="1">
      <c r="A848" s="753"/>
      <c r="B848" s="795"/>
      <c r="C848" s="754"/>
      <c r="D848" s="754"/>
      <c r="E848" s="755"/>
      <c r="F848" s="754"/>
      <c r="G848" s="756"/>
      <c r="H848" s="757"/>
      <c r="I848" s="754"/>
      <c r="K848" s="760"/>
      <c r="L848" s="761"/>
    </row>
    <row r="849" spans="1:12" s="732" customFormat="1" ht="15">
      <c r="A849" s="753"/>
      <c r="B849" s="776" t="s">
        <v>889</v>
      </c>
      <c r="C849" s="754"/>
      <c r="D849" s="754"/>
      <c r="E849" s="755"/>
      <c r="F849" s="754"/>
      <c r="G849" s="765">
        <v>36619701</v>
      </c>
      <c r="H849" s="757"/>
      <c r="I849" s="757">
        <v>35724656</v>
      </c>
      <c r="J849" s="732" t="s">
        <v>79</v>
      </c>
      <c r="K849" s="760"/>
      <c r="L849" s="761"/>
    </row>
    <row r="850" spans="1:12" s="732" customFormat="1" ht="9" customHeight="1">
      <c r="A850" s="753"/>
      <c r="B850" s="776"/>
      <c r="C850" s="754"/>
      <c r="D850" s="754"/>
      <c r="E850" s="755"/>
      <c r="F850" s="754"/>
      <c r="G850" s="780"/>
      <c r="H850" s="757"/>
      <c r="I850" s="757"/>
      <c r="K850" s="760"/>
      <c r="L850" s="761"/>
    </row>
    <row r="851" spans="1:12" s="732" customFormat="1" ht="15.75" thickBot="1">
      <c r="A851" s="753"/>
      <c r="B851" s="776"/>
      <c r="C851" s="754"/>
      <c r="D851" s="754"/>
      <c r="E851" s="755"/>
      <c r="F851" s="754"/>
      <c r="G851" s="771">
        <f>G849</f>
        <v>36619701</v>
      </c>
      <c r="H851" s="757"/>
      <c r="I851" s="778">
        <f>I849</f>
        <v>35724656</v>
      </c>
      <c r="K851" s="760"/>
      <c r="L851" s="761"/>
    </row>
    <row r="852" spans="1:12" s="732" customFormat="1" ht="9" customHeight="1" thickTop="1">
      <c r="A852" s="753"/>
      <c r="B852" s="776"/>
      <c r="C852" s="754"/>
      <c r="D852" s="754"/>
      <c r="E852" s="755"/>
      <c r="F852" s="754"/>
      <c r="G852" s="780"/>
      <c r="H852" s="757"/>
      <c r="I852" s="757"/>
      <c r="K852" s="760"/>
      <c r="L852" s="761"/>
    </row>
    <row r="853" spans="1:12" s="732" customFormat="1" ht="15">
      <c r="A853" s="753">
        <v>23</v>
      </c>
      <c r="B853" s="795" t="s">
        <v>1468</v>
      </c>
      <c r="C853" s="754"/>
      <c r="D853" s="754"/>
      <c r="E853" s="755"/>
      <c r="F853" s="754"/>
      <c r="G853" s="756"/>
      <c r="H853" s="757"/>
      <c r="I853" s="754"/>
      <c r="J853" s="732" t="s">
        <v>461</v>
      </c>
      <c r="K853" s="760">
        <f>'Grap i&amp;E'!D33</f>
        <v>278894865</v>
      </c>
      <c r="L853" s="761"/>
    </row>
    <row r="854" spans="1:12" s="732" customFormat="1" ht="9" customHeight="1">
      <c r="A854" s="753"/>
      <c r="B854" s="795"/>
      <c r="C854" s="754"/>
      <c r="D854" s="754"/>
      <c r="E854" s="755"/>
      <c r="F854" s="754"/>
      <c r="G854" s="756"/>
      <c r="H854" s="757"/>
      <c r="I854" s="754"/>
      <c r="K854" s="760"/>
      <c r="L854" s="761"/>
    </row>
    <row r="855" spans="1:12" s="732" customFormat="1" ht="15">
      <c r="A855" s="753"/>
      <c r="B855" s="776" t="s">
        <v>1469</v>
      </c>
      <c r="C855" s="754"/>
      <c r="D855" s="754"/>
      <c r="E855" s="755"/>
      <c r="F855" s="754"/>
      <c r="G855" s="756">
        <v>188387646</v>
      </c>
      <c r="H855" s="757"/>
      <c r="I855" s="854">
        <v>140345004</v>
      </c>
      <c r="J855" s="732" t="s">
        <v>507</v>
      </c>
      <c r="K855" s="760"/>
      <c r="L855" s="761"/>
    </row>
    <row r="856" spans="1:12" s="732" customFormat="1" ht="15">
      <c r="A856" s="753"/>
      <c r="B856" s="776" t="s">
        <v>1167</v>
      </c>
      <c r="C856" s="754"/>
      <c r="D856" s="754"/>
      <c r="E856" s="755"/>
      <c r="F856" s="754"/>
      <c r="G856" s="756">
        <v>90507219</v>
      </c>
      <c r="H856" s="757"/>
      <c r="I856" s="854">
        <f>83529657+119160</f>
        <v>83648817</v>
      </c>
      <c r="J856" s="732" t="s">
        <v>506</v>
      </c>
      <c r="K856" s="760"/>
      <c r="L856" s="761"/>
    </row>
    <row r="857" spans="1:12" s="732" customFormat="1" ht="9" customHeight="1">
      <c r="A857" s="753"/>
      <c r="B857" s="776"/>
      <c r="C857" s="754"/>
      <c r="D857" s="754"/>
      <c r="E857" s="755"/>
      <c r="F857" s="754"/>
      <c r="G857" s="756"/>
      <c r="H857" s="757"/>
      <c r="I857" s="854"/>
      <c r="K857" s="760"/>
      <c r="L857" s="761"/>
    </row>
    <row r="858" spans="1:12" s="732" customFormat="1" ht="15.75" thickBot="1">
      <c r="A858" s="753"/>
      <c r="B858" s="795"/>
      <c r="C858" s="754"/>
      <c r="D858" s="754"/>
      <c r="E858" s="755"/>
      <c r="F858" s="754"/>
      <c r="G858" s="771">
        <f>SUM(G855:G856)</f>
        <v>278894865</v>
      </c>
      <c r="H858" s="757"/>
      <c r="I858" s="771">
        <f>SUM(I855:I856)</f>
        <v>223993821</v>
      </c>
      <c r="J858" s="870" t="s">
        <v>80</v>
      </c>
      <c r="K858" s="760"/>
      <c r="L858" s="761"/>
    </row>
    <row r="859" spans="1:12" s="732" customFormat="1" ht="9" customHeight="1" thickTop="1">
      <c r="A859" s="753"/>
      <c r="B859" s="795"/>
      <c r="C859" s="754"/>
      <c r="D859" s="754"/>
      <c r="E859" s="755"/>
      <c r="F859" s="754"/>
      <c r="G859" s="780"/>
      <c r="H859" s="757"/>
      <c r="I859" s="757"/>
      <c r="J859" s="870"/>
      <c r="K859" s="760"/>
      <c r="L859" s="761"/>
    </row>
    <row r="860" spans="1:12" s="732" customFormat="1" ht="15">
      <c r="A860" s="753"/>
      <c r="B860" s="1274" t="s">
        <v>81</v>
      </c>
      <c r="C860" s="1275"/>
      <c r="D860" s="1275"/>
      <c r="E860" s="1275"/>
      <c r="F860" s="754"/>
      <c r="G860" s="780"/>
      <c r="H860" s="757"/>
      <c r="I860" s="757"/>
      <c r="J860" s="870"/>
      <c r="K860" s="760"/>
      <c r="L860" s="761"/>
    </row>
    <row r="861" spans="11:12" s="821" customFormat="1" ht="15">
      <c r="K861" s="822"/>
      <c r="L861" s="823"/>
    </row>
    <row r="862" spans="1:12" s="821" customFormat="1" ht="15">
      <c r="A862" s="794"/>
      <c r="B862" s="794"/>
      <c r="C862" s="794"/>
      <c r="D862" s="794"/>
      <c r="E862" s="794"/>
      <c r="F862" s="794"/>
      <c r="G862" s="794"/>
      <c r="H862" s="794"/>
      <c r="I862" s="794"/>
      <c r="K862" s="822"/>
      <c r="L862" s="823"/>
    </row>
    <row r="863" spans="1:12" s="821" customFormat="1" ht="15">
      <c r="A863" s="794"/>
      <c r="B863" s="794"/>
      <c r="C863" s="794"/>
      <c r="D863" s="794"/>
      <c r="E863" s="794"/>
      <c r="F863" s="794"/>
      <c r="G863" s="794"/>
      <c r="H863" s="794"/>
      <c r="I863" s="794"/>
      <c r="K863" s="822"/>
      <c r="L863" s="823"/>
    </row>
    <row r="864" spans="1:12" s="821" customFormat="1" ht="15">
      <c r="A864" s="794"/>
      <c r="B864" s="794"/>
      <c r="C864" s="794"/>
      <c r="D864" s="794"/>
      <c r="E864" s="794"/>
      <c r="F864" s="794"/>
      <c r="G864" s="794"/>
      <c r="H864" s="794"/>
      <c r="I864" s="794"/>
      <c r="K864" s="822"/>
      <c r="L864" s="823"/>
    </row>
    <row r="865" spans="1:12" s="821" customFormat="1" ht="15">
      <c r="A865" s="794"/>
      <c r="B865" s="794"/>
      <c r="C865" s="794"/>
      <c r="D865" s="794"/>
      <c r="E865" s="794"/>
      <c r="F865" s="794"/>
      <c r="G865" s="794"/>
      <c r="H865" s="794"/>
      <c r="I865" s="794"/>
      <c r="K865" s="822"/>
      <c r="L865" s="823"/>
    </row>
    <row r="866" spans="1:12" s="821" customFormat="1" ht="15">
      <c r="A866" s="1271" t="s">
        <v>855</v>
      </c>
      <c r="B866" s="1271"/>
      <c r="C866" s="1271"/>
      <c r="D866" s="1271"/>
      <c r="E866" s="1271"/>
      <c r="F866" s="1271"/>
      <c r="G866" s="1271"/>
      <c r="H866" s="1271"/>
      <c r="I866" s="1271"/>
      <c r="K866" s="822"/>
      <c r="L866" s="823"/>
    </row>
    <row r="867" spans="1:12" s="821" customFormat="1" ht="15">
      <c r="A867" s="794"/>
      <c r="B867" s="794"/>
      <c r="C867" s="794"/>
      <c r="D867" s="794"/>
      <c r="E867" s="794"/>
      <c r="F867" s="794"/>
      <c r="G867" s="794"/>
      <c r="H867" s="794"/>
      <c r="I867" s="794"/>
      <c r="K867" s="822"/>
      <c r="L867" s="823"/>
    </row>
    <row r="868" spans="1:12" s="732" customFormat="1" ht="15">
      <c r="A868" s="753">
        <v>24</v>
      </c>
      <c r="B868" s="871" t="s">
        <v>874</v>
      </c>
      <c r="C868" s="754"/>
      <c r="D868" s="754"/>
      <c r="E868" s="755"/>
      <c r="F868" s="754"/>
      <c r="G868" s="756"/>
      <c r="H868" s="757"/>
      <c r="I868" s="754"/>
      <c r="J868" s="852"/>
      <c r="K868" s="760"/>
      <c r="L868" s="761"/>
    </row>
    <row r="869" spans="1:12" s="732" customFormat="1" ht="15">
      <c r="A869" s="753"/>
      <c r="B869" s="871"/>
      <c r="C869" s="754"/>
      <c r="D869" s="754"/>
      <c r="E869" s="755"/>
      <c r="F869" s="754"/>
      <c r="G869" s="756"/>
      <c r="H869" s="757"/>
      <c r="I869" s="754"/>
      <c r="J869" s="852"/>
      <c r="K869" s="760"/>
      <c r="L869" s="761"/>
    </row>
    <row r="870" spans="1:12" s="732" customFormat="1" ht="15">
      <c r="A870" s="753"/>
      <c r="B870" s="776" t="s">
        <v>904</v>
      </c>
      <c r="C870" s="754"/>
      <c r="D870" s="754"/>
      <c r="F870" s="754"/>
      <c r="G870" s="836">
        <v>952635</v>
      </c>
      <c r="H870" s="770"/>
      <c r="I870" s="836">
        <v>1490464</v>
      </c>
      <c r="J870" s="852"/>
      <c r="K870" s="760"/>
      <c r="L870" s="761"/>
    </row>
    <row r="871" spans="1:12" s="732" customFormat="1" ht="15">
      <c r="A871" s="731"/>
      <c r="B871" s="776" t="s">
        <v>1232</v>
      </c>
      <c r="C871" s="754"/>
      <c r="D871" s="754"/>
      <c r="E871" s="755"/>
      <c r="F871" s="754"/>
      <c r="G871" s="836">
        <v>1986917</v>
      </c>
      <c r="H871" s="772"/>
      <c r="I871" s="836">
        <v>1380876</v>
      </c>
      <c r="K871" s="760"/>
      <c r="L871" s="761"/>
    </row>
    <row r="872" spans="1:12" s="732" customFormat="1" ht="15">
      <c r="A872" s="753"/>
      <c r="B872" s="776" t="s">
        <v>755</v>
      </c>
      <c r="C872" s="754"/>
      <c r="D872" s="754"/>
      <c r="F872" s="754"/>
      <c r="G872" s="836">
        <v>2186415</v>
      </c>
      <c r="H872" s="770"/>
      <c r="I872" s="836">
        <v>918618</v>
      </c>
      <c r="J872" s="852"/>
      <c r="K872" s="760"/>
      <c r="L872" s="761"/>
    </row>
    <row r="873" spans="1:12" s="732" customFormat="1" ht="15">
      <c r="A873" s="731"/>
      <c r="B873" s="776" t="s">
        <v>1019</v>
      </c>
      <c r="C873" s="754"/>
      <c r="D873" s="754"/>
      <c r="E873" s="755"/>
      <c r="F873" s="754"/>
      <c r="G873" s="836">
        <v>932193</v>
      </c>
      <c r="H873" s="772"/>
      <c r="I873" s="836">
        <v>4325563</v>
      </c>
      <c r="J873" s="756"/>
      <c r="K873" s="760"/>
      <c r="L873" s="761"/>
    </row>
    <row r="874" spans="1:12" s="732" customFormat="1" ht="15">
      <c r="A874" s="753"/>
      <c r="B874" s="776" t="s">
        <v>1070</v>
      </c>
      <c r="C874" s="754"/>
      <c r="D874" s="754"/>
      <c r="F874" s="754"/>
      <c r="G874" s="836">
        <v>9010549</v>
      </c>
      <c r="H874" s="770"/>
      <c r="I874" s="1102">
        <v>2719197</v>
      </c>
      <c r="J874" s="852"/>
      <c r="K874" s="760"/>
      <c r="L874" s="761"/>
    </row>
    <row r="875" spans="1:12" s="732" customFormat="1" ht="15">
      <c r="A875" s="753"/>
      <c r="B875" s="776" t="s">
        <v>1362</v>
      </c>
      <c r="C875" s="754"/>
      <c r="D875" s="754"/>
      <c r="F875" s="754"/>
      <c r="G875" s="836">
        <v>248666</v>
      </c>
      <c r="H875" s="770"/>
      <c r="I875" s="836">
        <v>1324313</v>
      </c>
      <c r="J875" s="852">
        <v>2778</v>
      </c>
      <c r="K875" s="760"/>
      <c r="L875" s="761"/>
    </row>
    <row r="876" spans="1:12" s="732" customFormat="1" ht="15">
      <c r="A876" s="753"/>
      <c r="B876" s="776" t="s">
        <v>876</v>
      </c>
      <c r="C876" s="754"/>
      <c r="D876" s="754"/>
      <c r="F876" s="754"/>
      <c r="G876" s="836">
        <v>1490641</v>
      </c>
      <c r="H876" s="770"/>
      <c r="I876" s="836">
        <v>3064578</v>
      </c>
      <c r="J876" s="852"/>
      <c r="K876" s="760"/>
      <c r="L876" s="761"/>
    </row>
    <row r="877" spans="1:12" s="732" customFormat="1" ht="15">
      <c r="A877" s="753"/>
      <c r="B877" s="776" t="s">
        <v>877</v>
      </c>
      <c r="C877" s="754"/>
      <c r="D877" s="754"/>
      <c r="F877" s="754"/>
      <c r="G877" s="836">
        <v>3367831</v>
      </c>
      <c r="H877" s="770"/>
      <c r="I877" s="836">
        <v>3788772</v>
      </c>
      <c r="J877" s="852"/>
      <c r="K877" s="760"/>
      <c r="L877" s="761"/>
    </row>
    <row r="878" spans="1:12" s="732" customFormat="1" ht="15">
      <c r="A878" s="753"/>
      <c r="B878" s="776" t="s">
        <v>878</v>
      </c>
      <c r="C878" s="755"/>
      <c r="D878" s="755"/>
      <c r="F878" s="755"/>
      <c r="G878" s="836">
        <v>1013515</v>
      </c>
      <c r="H878" s="770"/>
      <c r="I878" s="836">
        <v>1418272</v>
      </c>
      <c r="J878" s="852"/>
      <c r="K878" s="760"/>
      <c r="L878" s="761"/>
    </row>
    <row r="879" spans="1:12" s="732" customFormat="1" ht="15">
      <c r="A879" s="753"/>
      <c r="B879" s="776" t="s">
        <v>668</v>
      </c>
      <c r="C879" s="755"/>
      <c r="D879" s="755"/>
      <c r="F879" s="755"/>
      <c r="G879" s="836">
        <v>1274024</v>
      </c>
      <c r="H879" s="770"/>
      <c r="I879" s="836">
        <v>1034646</v>
      </c>
      <c r="J879" s="852"/>
      <c r="K879" s="760"/>
      <c r="L879" s="761"/>
    </row>
    <row r="880" spans="1:12" s="732" customFormat="1" ht="15">
      <c r="A880" s="753"/>
      <c r="B880" s="776" t="s">
        <v>879</v>
      </c>
      <c r="C880" s="754"/>
      <c r="D880" s="754"/>
      <c r="F880" s="754"/>
      <c r="G880" s="836">
        <v>7610053</v>
      </c>
      <c r="H880" s="770"/>
      <c r="I880" s="836">
        <v>4899697</v>
      </c>
      <c r="J880" s="852"/>
      <c r="K880" s="760"/>
      <c r="L880" s="761"/>
    </row>
    <row r="881" spans="1:12" s="732" customFormat="1" ht="15">
      <c r="A881" s="753"/>
      <c r="B881" s="776" t="s">
        <v>880</v>
      </c>
      <c r="C881" s="754"/>
      <c r="D881" s="754"/>
      <c r="F881" s="754"/>
      <c r="G881" s="836">
        <v>8722140</v>
      </c>
      <c r="H881" s="770"/>
      <c r="I881" s="836">
        <v>8990141</v>
      </c>
      <c r="J881" s="852"/>
      <c r="K881" s="760"/>
      <c r="L881" s="761"/>
    </row>
    <row r="882" spans="1:12" s="732" customFormat="1" ht="15">
      <c r="A882" s="731"/>
      <c r="B882" s="776" t="s">
        <v>885</v>
      </c>
      <c r="C882" s="754"/>
      <c r="D882" s="754"/>
      <c r="E882" s="755"/>
      <c r="F882" s="754"/>
      <c r="G882" s="836">
        <f>9871513+362547-109194</f>
        <v>10124866</v>
      </c>
      <c r="H882" s="772"/>
      <c r="I882" s="836">
        <v>9664312</v>
      </c>
      <c r="J882" s="756">
        <v>-72877448</v>
      </c>
      <c r="K882" s="760"/>
      <c r="L882" s="761"/>
    </row>
    <row r="883" spans="1:12" s="732" customFormat="1" ht="15">
      <c r="A883" s="753"/>
      <c r="B883" s="776" t="s">
        <v>881</v>
      </c>
      <c r="C883" s="754"/>
      <c r="D883" s="754"/>
      <c r="F883" s="754"/>
      <c r="G883" s="836">
        <v>1954129</v>
      </c>
      <c r="H883" s="770"/>
      <c r="I883" s="836">
        <v>1551522</v>
      </c>
      <c r="J883" s="852"/>
      <c r="K883" s="760"/>
      <c r="L883" s="761"/>
    </row>
    <row r="884" spans="1:12" s="732" customFormat="1" ht="15">
      <c r="A884" s="753"/>
      <c r="B884" s="776" t="s">
        <v>669</v>
      </c>
      <c r="C884" s="754"/>
      <c r="D884" s="754"/>
      <c r="F884" s="754"/>
      <c r="G884" s="836">
        <v>1109193</v>
      </c>
      <c r="H884" s="770"/>
      <c r="I884" s="836">
        <v>1295547</v>
      </c>
      <c r="J884" s="852"/>
      <c r="K884" s="760"/>
      <c r="L884" s="761"/>
    </row>
    <row r="885" spans="1:12" s="732" customFormat="1" ht="15">
      <c r="A885" s="753"/>
      <c r="B885" s="776" t="s">
        <v>639</v>
      </c>
      <c r="C885" s="754"/>
      <c r="D885" s="754"/>
      <c r="F885" s="754"/>
      <c r="G885" s="836">
        <v>1529926</v>
      </c>
      <c r="H885" s="770"/>
      <c r="I885" s="836">
        <v>175158</v>
      </c>
      <c r="J885" s="852"/>
      <c r="K885" s="760"/>
      <c r="L885" s="761"/>
    </row>
    <row r="886" spans="1:12" s="732" customFormat="1" ht="15">
      <c r="A886" s="753"/>
      <c r="B886" s="776" t="s">
        <v>875</v>
      </c>
      <c r="C886" s="754"/>
      <c r="D886" s="754"/>
      <c r="F886" s="754"/>
      <c r="G886" s="836">
        <f>2600455+73344</f>
        <v>2673799</v>
      </c>
      <c r="H886" s="770"/>
      <c r="I886" s="836">
        <v>2194497</v>
      </c>
      <c r="J886" s="852"/>
      <c r="K886" s="760"/>
      <c r="L886" s="761"/>
    </row>
    <row r="887" spans="1:12" s="732" customFormat="1" ht="15">
      <c r="A887" s="753"/>
      <c r="B887" s="776" t="s">
        <v>882</v>
      </c>
      <c r="C887" s="754"/>
      <c r="D887" s="754"/>
      <c r="F887" s="754"/>
      <c r="G887" s="836">
        <v>4626459</v>
      </c>
      <c r="H887" s="770"/>
      <c r="I887" s="836">
        <v>2540116</v>
      </c>
      <c r="J887" s="852" t="s">
        <v>1587</v>
      </c>
      <c r="K887" s="760"/>
      <c r="L887" s="761"/>
    </row>
    <row r="888" spans="1:12" s="732" customFormat="1" ht="15">
      <c r="A888" s="753"/>
      <c r="B888" s="776" t="s">
        <v>672</v>
      </c>
      <c r="C888" s="754"/>
      <c r="D888" s="754"/>
      <c r="F888" s="754"/>
      <c r="G888" s="770">
        <v>4397877</v>
      </c>
      <c r="H888" s="770"/>
      <c r="I888" s="836">
        <v>0</v>
      </c>
      <c r="J888" s="852"/>
      <c r="K888" s="760"/>
      <c r="L888" s="761"/>
    </row>
    <row r="889" spans="1:12" s="732" customFormat="1" ht="15">
      <c r="A889" s="753"/>
      <c r="B889" s="776" t="s">
        <v>640</v>
      </c>
      <c r="C889" s="754"/>
      <c r="D889" s="754"/>
      <c r="F889" s="754"/>
      <c r="G889" s="836">
        <v>1155195</v>
      </c>
      <c r="H889" s="770"/>
      <c r="I889" s="836">
        <v>1103696</v>
      </c>
      <c r="J889" s="852"/>
      <c r="K889" s="760"/>
      <c r="L889" s="761"/>
    </row>
    <row r="890" spans="1:12" s="732" customFormat="1" ht="15">
      <c r="A890" s="753"/>
      <c r="B890" s="776" t="s">
        <v>410</v>
      </c>
      <c r="C890" s="754"/>
      <c r="D890" s="754"/>
      <c r="F890" s="754"/>
      <c r="G890" s="836">
        <v>5248410</v>
      </c>
      <c r="H890" s="770"/>
      <c r="I890" s="1102">
        <v>6940456</v>
      </c>
      <c r="J890" s="852"/>
      <c r="K890" s="760"/>
      <c r="L890" s="761"/>
    </row>
    <row r="891" spans="1:12" s="732" customFormat="1" ht="15">
      <c r="A891" s="753"/>
      <c r="B891" s="776" t="s">
        <v>666</v>
      </c>
      <c r="C891" s="754"/>
      <c r="D891" s="754"/>
      <c r="F891" s="754"/>
      <c r="G891" s="836">
        <v>8795342</v>
      </c>
      <c r="H891" s="770"/>
      <c r="I891" s="836">
        <v>6405434</v>
      </c>
      <c r="J891" s="852">
        <v>2836</v>
      </c>
      <c r="K891" s="760"/>
      <c r="L891" s="761"/>
    </row>
    <row r="892" spans="1:12" s="732" customFormat="1" ht="15">
      <c r="A892" s="753"/>
      <c r="B892" s="776" t="s">
        <v>667</v>
      </c>
      <c r="C892" s="754"/>
      <c r="D892" s="754"/>
      <c r="F892" s="754"/>
      <c r="G892" s="836">
        <v>2541222</v>
      </c>
      <c r="H892" s="770"/>
      <c r="I892" s="836">
        <v>1143467</v>
      </c>
      <c r="J892" s="852"/>
      <c r="K892" s="760" t="s">
        <v>1587</v>
      </c>
      <c r="L892" s="761"/>
    </row>
    <row r="893" spans="1:12" s="732" customFormat="1" ht="15">
      <c r="A893" s="753"/>
      <c r="B893" s="776" t="s">
        <v>1235</v>
      </c>
      <c r="C893" s="754"/>
      <c r="D893" s="754"/>
      <c r="F893" s="754"/>
      <c r="G893" s="836">
        <v>2331557</v>
      </c>
      <c r="H893" s="770"/>
      <c r="I893" s="836">
        <v>2206847</v>
      </c>
      <c r="J893" s="852"/>
      <c r="K893" s="760"/>
      <c r="L893" s="761"/>
    </row>
    <row r="894" spans="1:12" s="732" customFormat="1" ht="15">
      <c r="A894" s="731"/>
      <c r="B894" s="776" t="s">
        <v>1020</v>
      </c>
      <c r="C894" s="754"/>
      <c r="D894" s="754"/>
      <c r="E894" s="755"/>
      <c r="F894" s="754"/>
      <c r="G894" s="836">
        <v>7122582</v>
      </c>
      <c r="H894" s="772"/>
      <c r="I894" s="836">
        <v>4930885</v>
      </c>
      <c r="J894" s="756" t="s">
        <v>1587</v>
      </c>
      <c r="K894" s="760"/>
      <c r="L894" s="761"/>
    </row>
    <row r="895" spans="1:12" s="732" customFormat="1" ht="15">
      <c r="A895" s="731"/>
      <c r="B895" s="776" t="s">
        <v>673</v>
      </c>
      <c r="C895" s="754"/>
      <c r="D895" s="754"/>
      <c r="E895" s="755"/>
      <c r="F895" s="754"/>
      <c r="G895" s="836">
        <v>920082</v>
      </c>
      <c r="H895" s="772"/>
      <c r="I895" s="836">
        <v>614297</v>
      </c>
      <c r="J895" s="872"/>
      <c r="K895" s="760">
        <f>SUM(G868:G896)</f>
        <v>94628642</v>
      </c>
      <c r="L895" s="761"/>
    </row>
    <row r="896" spans="1:12" s="732" customFormat="1" ht="15">
      <c r="A896" s="731"/>
      <c r="B896" s="776" t="s">
        <v>1233</v>
      </c>
      <c r="C896" s="754"/>
      <c r="D896" s="754"/>
      <c r="E896" s="755"/>
      <c r="F896" s="754"/>
      <c r="G896" s="836">
        <v>1302424</v>
      </c>
      <c r="H896" s="772"/>
      <c r="I896" s="836">
        <v>1639955</v>
      </c>
      <c r="J896" s="873" t="s">
        <v>886</v>
      </c>
      <c r="K896" s="760"/>
      <c r="L896" s="761"/>
    </row>
    <row r="897" spans="1:12" s="732" customFormat="1" ht="15">
      <c r="A897" s="731"/>
      <c r="B897" s="776" t="s">
        <v>883</v>
      </c>
      <c r="C897" s="754"/>
      <c r="D897" s="754"/>
      <c r="E897" s="755"/>
      <c r="F897" s="754"/>
      <c r="G897" s="836">
        <f>7779130+1188442</f>
        <v>8967572</v>
      </c>
      <c r="H897" s="772"/>
      <c r="I897" s="836">
        <v>9251723</v>
      </c>
      <c r="J897" s="872">
        <f>'Grap i&amp;E'!F36</f>
        <v>89752070</v>
      </c>
      <c r="K897" s="760"/>
      <c r="L897" s="761"/>
    </row>
    <row r="898" spans="1:12" s="732" customFormat="1" ht="15">
      <c r="A898" s="731"/>
      <c r="B898" s="776" t="s">
        <v>887</v>
      </c>
      <c r="C898" s="754"/>
      <c r="D898" s="754"/>
      <c r="E898" s="755"/>
      <c r="F898" s="754"/>
      <c r="G898" s="836">
        <v>860506</v>
      </c>
      <c r="H898" s="772"/>
      <c r="I898" s="836">
        <v>1426176</v>
      </c>
      <c r="J898" s="872">
        <v>-54045659</v>
      </c>
      <c r="K898" s="760"/>
      <c r="L898" s="761"/>
    </row>
    <row r="899" spans="1:12" s="732" customFormat="1" ht="15">
      <c r="A899" s="731"/>
      <c r="B899" s="776" t="s">
        <v>884</v>
      </c>
      <c r="C899" s="754"/>
      <c r="D899" s="754"/>
      <c r="E899" s="755"/>
      <c r="F899" s="754"/>
      <c r="G899" s="836">
        <v>732133</v>
      </c>
      <c r="H899" s="772"/>
      <c r="I899" s="836">
        <v>1312845</v>
      </c>
      <c r="J899" s="756" t="s">
        <v>1587</v>
      </c>
      <c r="K899" s="760">
        <f>J902-K898</f>
        <v>0</v>
      </c>
      <c r="L899" s="761"/>
    </row>
    <row r="900" spans="7:8" ht="9" customHeight="1">
      <c r="G900" s="915"/>
      <c r="H900" s="916"/>
    </row>
    <row r="901" spans="1:12" s="748" customFormat="1" ht="15" customHeight="1" thickBot="1">
      <c r="A901" s="731"/>
      <c r="B901" s="795"/>
      <c r="C901" s="755"/>
      <c r="D901" s="755"/>
      <c r="F901" s="755"/>
      <c r="G901" s="771">
        <f>SUM(G870:G900)</f>
        <v>105188853</v>
      </c>
      <c r="H901" s="780"/>
      <c r="I901" s="771">
        <f>SUM(I870:I900)</f>
        <v>89752070</v>
      </c>
      <c r="J901" s="852">
        <f>'Grap i&amp;E'!D36</f>
        <v>105188853</v>
      </c>
      <c r="K901" s="760" t="s">
        <v>1587</v>
      </c>
      <c r="L901" s="842"/>
    </row>
    <row r="902" spans="1:12" s="748" customFormat="1" ht="15.75" thickTop="1">
      <c r="A902" s="731"/>
      <c r="B902" s="795"/>
      <c r="C902" s="755"/>
      <c r="D902" s="755"/>
      <c r="F902" s="755"/>
      <c r="G902" s="780"/>
      <c r="H902" s="780"/>
      <c r="I902" s="765"/>
      <c r="J902" s="852"/>
      <c r="K902" s="760"/>
      <c r="L902" s="842"/>
    </row>
    <row r="903" spans="1:12" s="732" customFormat="1" ht="15">
      <c r="A903" s="753">
        <f>A868+1</f>
        <v>25</v>
      </c>
      <c r="B903" s="871" t="s">
        <v>1234</v>
      </c>
      <c r="C903" s="755"/>
      <c r="D903" s="755"/>
      <c r="E903" s="755"/>
      <c r="F903" s="755"/>
      <c r="G903" s="796"/>
      <c r="H903" s="781"/>
      <c r="I903" s="754"/>
      <c r="K903" s="760"/>
      <c r="L903" s="761"/>
    </row>
    <row r="904" spans="1:12" s="732" customFormat="1" ht="9" customHeight="1">
      <c r="A904" s="753"/>
      <c r="B904" s="871"/>
      <c r="C904" s="755"/>
      <c r="D904" s="755"/>
      <c r="E904" s="755"/>
      <c r="F904" s="755"/>
      <c r="G904" s="796"/>
      <c r="H904" s="781"/>
      <c r="I904" s="754"/>
      <c r="K904" s="760"/>
      <c r="L904" s="761"/>
    </row>
    <row r="905" spans="1:12" s="732" customFormat="1" ht="15">
      <c r="A905" s="731"/>
      <c r="B905" s="776" t="s">
        <v>895</v>
      </c>
      <c r="C905" s="754"/>
      <c r="D905" s="754"/>
      <c r="E905" s="755"/>
      <c r="F905" s="754"/>
      <c r="G905" s="756">
        <f>'Grap Appr'!H36</f>
        <v>146115403</v>
      </c>
      <c r="H905" s="757"/>
      <c r="I905" s="754">
        <f>'Grap i&amp;E'!F41</f>
        <v>48162002</v>
      </c>
      <c r="J905" s="732" t="s">
        <v>341</v>
      </c>
      <c r="K905" s="760">
        <f>'Grap i&amp;E'!D41</f>
        <v>146115403</v>
      </c>
      <c r="L905" s="761"/>
    </row>
    <row r="906" spans="1:12" s="732" customFormat="1" ht="9" customHeight="1">
      <c r="A906" s="731"/>
      <c r="B906" s="776"/>
      <c r="C906" s="754"/>
      <c r="D906" s="754"/>
      <c r="E906" s="755"/>
      <c r="F906" s="754"/>
      <c r="G906" s="756"/>
      <c r="H906" s="757"/>
      <c r="I906" s="754"/>
      <c r="K906" s="760"/>
      <c r="L906" s="761"/>
    </row>
    <row r="907" spans="1:12" s="732" customFormat="1" ht="15">
      <c r="A907" s="753"/>
      <c r="B907" s="795" t="s">
        <v>1071</v>
      </c>
      <c r="C907" s="754"/>
      <c r="D907" s="754"/>
      <c r="E907" s="755"/>
      <c r="F907" s="754"/>
      <c r="G907" s="756"/>
      <c r="H907" s="757"/>
      <c r="I907" s="754"/>
      <c r="K907" s="760"/>
      <c r="L907" s="761"/>
    </row>
    <row r="908" spans="1:12" s="732" customFormat="1" ht="9" customHeight="1">
      <c r="A908" s="753"/>
      <c r="B908" s="795"/>
      <c r="C908" s="754"/>
      <c r="D908" s="754"/>
      <c r="E908" s="755"/>
      <c r="F908" s="754"/>
      <c r="G908" s="756"/>
      <c r="H908" s="757"/>
      <c r="I908" s="754"/>
      <c r="K908" s="760"/>
      <c r="L908" s="761"/>
    </row>
    <row r="909" spans="1:12" s="732" customFormat="1" ht="15">
      <c r="A909" s="753"/>
      <c r="B909" s="776" t="s">
        <v>1072</v>
      </c>
      <c r="C909" s="754"/>
      <c r="D909" s="754"/>
      <c r="E909" s="755"/>
      <c r="F909" s="754"/>
      <c r="G909" s="765">
        <f>'Grap i&amp;E'!D29</f>
        <v>9227939</v>
      </c>
      <c r="H909" s="757"/>
      <c r="I909" s="757">
        <f>'Grap i&amp;E'!F29</f>
        <v>5522199</v>
      </c>
      <c r="J909" s="732" t="s">
        <v>360</v>
      </c>
      <c r="K909" s="760">
        <f>'Grap i&amp;E'!D29</f>
        <v>9227939</v>
      </c>
      <c r="L909" s="874" t="s">
        <v>532</v>
      </c>
    </row>
    <row r="910" spans="1:12" s="732" customFormat="1" ht="15">
      <c r="A910" s="753"/>
      <c r="B910" s="776" t="s">
        <v>1051</v>
      </c>
      <c r="C910" s="754"/>
      <c r="D910" s="754"/>
      <c r="E910" s="755"/>
      <c r="F910" s="754"/>
      <c r="G910" s="757">
        <f>-'Notes (2)'!G282</f>
        <v>736871</v>
      </c>
      <c r="H910" s="757"/>
      <c r="I910" s="757">
        <f>-I282</f>
        <v>594303</v>
      </c>
      <c r="K910" s="760"/>
      <c r="L910" s="874"/>
    </row>
    <row r="911" spans="1:14" s="732" customFormat="1" ht="15">
      <c r="A911" s="753"/>
      <c r="B911" s="776" t="s">
        <v>1073</v>
      </c>
      <c r="C911" s="754"/>
      <c r="D911" s="754"/>
      <c r="E911" s="755"/>
      <c r="F911" s="754"/>
      <c r="G911" s="765">
        <f>'GRAP APP B'!H70-'GRAP APP B'!P70</f>
        <v>362547</v>
      </c>
      <c r="H911" s="757"/>
      <c r="I911" s="757">
        <v>194009</v>
      </c>
      <c r="J911" s="732" t="s">
        <v>342</v>
      </c>
      <c r="K911" s="760">
        <f>'GRAP APP B'!H70-'GRAP APP B'!P70</f>
        <v>362547</v>
      </c>
      <c r="L911" s="761"/>
      <c r="M911" s="754">
        <f>G909+G911</f>
        <v>9590486</v>
      </c>
      <c r="N911" s="732">
        <v>5898979</v>
      </c>
    </row>
    <row r="912" spans="1:13" s="732" customFormat="1" ht="15">
      <c r="A912" s="753"/>
      <c r="B912" s="776" t="s">
        <v>699</v>
      </c>
      <c r="C912" s="754"/>
      <c r="D912" s="754"/>
      <c r="E912" s="755"/>
      <c r="F912" s="754"/>
      <c r="G912" s="765">
        <f>'Grap Appr'!D39</f>
        <v>5315857</v>
      </c>
      <c r="H912" s="757"/>
      <c r="I912" s="757">
        <f>'Grap Appr'!D21</f>
        <v>-8501248</v>
      </c>
      <c r="K912" s="760"/>
      <c r="L912" s="761"/>
      <c r="M912" s="754"/>
    </row>
    <row r="913" spans="1:14" s="732" customFormat="1" ht="15">
      <c r="A913" s="753"/>
      <c r="B913" s="776" t="s">
        <v>1476</v>
      </c>
      <c r="C913" s="754"/>
      <c r="D913" s="754"/>
      <c r="E913" s="755"/>
      <c r="F913" s="754"/>
      <c r="G913" s="765">
        <f>'Grap i&amp;E'!D32</f>
        <v>36619701</v>
      </c>
      <c r="H913" s="757"/>
      <c r="I913" s="757">
        <f>'Grap i&amp;E'!F32</f>
        <v>35724656</v>
      </c>
      <c r="J913" s="732" t="s">
        <v>343</v>
      </c>
      <c r="K913" s="760">
        <f>'Grap i&amp;E'!D32</f>
        <v>36619701</v>
      </c>
      <c r="L913" s="874" t="s">
        <v>532</v>
      </c>
      <c r="M913" s="732">
        <v>1944000</v>
      </c>
      <c r="N913" s="732">
        <v>-5704968</v>
      </c>
    </row>
    <row r="914" spans="1:12" s="732" customFormat="1" ht="15">
      <c r="A914" s="753"/>
      <c r="B914" s="776" t="s">
        <v>161</v>
      </c>
      <c r="C914" s="754"/>
      <c r="D914" s="754"/>
      <c r="E914" s="755"/>
      <c r="F914" s="754"/>
      <c r="G914" s="765">
        <f>G365</f>
        <v>37718352</v>
      </c>
      <c r="H914" s="757"/>
      <c r="I914" s="765">
        <f>I365</f>
        <v>98106436</v>
      </c>
      <c r="K914" s="760"/>
      <c r="L914" s="874"/>
    </row>
    <row r="915" spans="1:12" s="732" customFormat="1" ht="15">
      <c r="A915" s="753"/>
      <c r="B915" s="776" t="s">
        <v>162</v>
      </c>
      <c r="C915" s="754"/>
      <c r="D915" s="754"/>
      <c r="E915" s="755"/>
      <c r="F915" s="754"/>
      <c r="G915" s="765">
        <f>G366</f>
        <v>-32639324</v>
      </c>
      <c r="H915" s="757"/>
      <c r="I915" s="765">
        <f>I366</f>
        <v>-70540685</v>
      </c>
      <c r="K915" s="760"/>
      <c r="L915" s="874"/>
    </row>
    <row r="916" spans="1:14" s="732" customFormat="1" ht="15">
      <c r="A916" s="753"/>
      <c r="B916" s="776" t="s">
        <v>1689</v>
      </c>
      <c r="C916" s="754"/>
      <c r="D916" s="754"/>
      <c r="E916" s="755"/>
      <c r="F916" s="754"/>
      <c r="G916" s="765">
        <f>-'Grap i&amp;E'!D11</f>
        <v>-15169682</v>
      </c>
      <c r="H916" s="757"/>
      <c r="I916" s="757">
        <f>-'Grap i&amp;E'!F11</f>
        <v>-3865552</v>
      </c>
      <c r="J916" s="732" t="s">
        <v>344</v>
      </c>
      <c r="K916" s="760">
        <f>'Grap i&amp;E'!D11</f>
        <v>15169682</v>
      </c>
      <c r="L916" s="874" t="s">
        <v>532</v>
      </c>
      <c r="M916" s="754">
        <f>M911-M913</f>
        <v>7646486</v>
      </c>
      <c r="N916" s="732">
        <f>SUM(N911:N913)</f>
        <v>194011</v>
      </c>
    </row>
    <row r="917" spans="1:13" s="732" customFormat="1" ht="9" customHeight="1">
      <c r="A917" s="753"/>
      <c r="B917" s="776"/>
      <c r="C917" s="754"/>
      <c r="D917" s="754"/>
      <c r="E917" s="755"/>
      <c r="F917" s="754"/>
      <c r="G917" s="762"/>
      <c r="H917" s="757"/>
      <c r="I917" s="827"/>
      <c r="K917" s="760"/>
      <c r="L917" s="874"/>
      <c r="M917" s="754"/>
    </row>
    <row r="918" spans="1:12" s="732" customFormat="1" ht="15">
      <c r="A918" s="753"/>
      <c r="B918" s="1278" t="s">
        <v>1478</v>
      </c>
      <c r="C918" s="1278"/>
      <c r="D918" s="1278"/>
      <c r="E918" s="1278"/>
      <c r="F918" s="795"/>
      <c r="G918" s="780">
        <f>SUM(G905:G916)</f>
        <v>188287664</v>
      </c>
      <c r="H918" s="781"/>
      <c r="I918" s="780">
        <f>SUM(I905:I916)</f>
        <v>105396120</v>
      </c>
      <c r="K918" s="760"/>
      <c r="L918" s="761"/>
    </row>
    <row r="919" spans="1:12" s="821" customFormat="1" ht="9" customHeight="1">
      <c r="A919" s="803"/>
      <c r="B919" s="794"/>
      <c r="C919" s="794"/>
      <c r="D919" s="794"/>
      <c r="E919" s="794"/>
      <c r="F919" s="794"/>
      <c r="G919" s="794"/>
      <c r="H919" s="794"/>
      <c r="I919" s="1175"/>
      <c r="K919" s="822"/>
      <c r="L919" s="823"/>
    </row>
    <row r="920" spans="1:12" s="732" customFormat="1" ht="15">
      <c r="A920" s="753"/>
      <c r="B920" s="776" t="s">
        <v>1074</v>
      </c>
      <c r="C920" s="754"/>
      <c r="D920" s="754"/>
      <c r="E920" s="755"/>
      <c r="F920" s="754"/>
      <c r="G920" s="756">
        <f>'Grap Balance Sheet'!F46-'Grap Balance Sheet'!D46+89511455</f>
        <v>4871749</v>
      </c>
      <c r="H920" s="757"/>
      <c r="I920" s="754">
        <f>-('Grap Balance Sheet'!F46-82513963-2412100)+11019500-1</f>
        <v>10053435</v>
      </c>
      <c r="J920" s="732" t="s">
        <v>480</v>
      </c>
      <c r="K920" s="760" t="s">
        <v>529</v>
      </c>
      <c r="L920" s="761"/>
    </row>
    <row r="921" spans="1:12" s="732" customFormat="1" ht="15">
      <c r="A921" s="753"/>
      <c r="B921" s="776" t="s">
        <v>1075</v>
      </c>
      <c r="C921" s="754"/>
      <c r="D921" s="754"/>
      <c r="E921" s="755"/>
      <c r="F921" s="754"/>
      <c r="G921" s="756">
        <f>'Grap Balance Sheet'!F47-'Grap Balance Sheet'!D47-5057060</f>
        <v>-65106406</v>
      </c>
      <c r="H921" s="757"/>
      <c r="I921" s="754">
        <f>-('Grap Balance Sheet'!F47-133657233)-27565751</f>
        <v>-30935614</v>
      </c>
      <c r="J921" s="732" t="s">
        <v>480</v>
      </c>
      <c r="K921" s="760" t="s">
        <v>529</v>
      </c>
      <c r="L921" s="761"/>
    </row>
    <row r="922" spans="1:12" s="732" customFormat="1" ht="15">
      <c r="A922" s="753"/>
      <c r="B922" s="776" t="s">
        <v>808</v>
      </c>
      <c r="C922" s="754"/>
      <c r="D922" s="754"/>
      <c r="E922" s="755"/>
      <c r="F922" s="754"/>
      <c r="G922" s="756">
        <f>'Grap Balance Sheet'!F48-'Grap Balance Sheet'!D48</f>
        <v>-5166868</v>
      </c>
      <c r="H922" s="757"/>
      <c r="I922" s="754">
        <f>-('Grap Balance Sheet'!F48-38853954)-1</f>
        <v>23218223</v>
      </c>
      <c r="J922" s="732" t="s">
        <v>480</v>
      </c>
      <c r="K922" s="760" t="s">
        <v>529</v>
      </c>
      <c r="L922" s="761"/>
    </row>
    <row r="923" spans="1:12" s="732" customFormat="1" ht="15">
      <c r="A923" s="753"/>
      <c r="B923" s="776" t="s">
        <v>922</v>
      </c>
      <c r="C923" s="754"/>
      <c r="D923" s="754"/>
      <c r="E923" s="755"/>
      <c r="F923" s="754"/>
      <c r="G923" s="756">
        <f>'Grap Balance Sheet'!D26-'Grap Balance Sheet'!F26</f>
        <v>-16783085</v>
      </c>
      <c r="H923" s="757"/>
      <c r="I923" s="754">
        <f>'Grap Balance Sheet'!F26-19885563</f>
        <v>12592248</v>
      </c>
      <c r="J923" s="732" t="s">
        <v>480</v>
      </c>
      <c r="K923" s="760" t="s">
        <v>530</v>
      </c>
      <c r="L923" s="761"/>
    </row>
    <row r="924" spans="1:12" s="732" customFormat="1" ht="15">
      <c r="A924" s="753"/>
      <c r="B924" s="776" t="s">
        <v>1077</v>
      </c>
      <c r="C924" s="754"/>
      <c r="D924" s="754"/>
      <c r="E924" s="755"/>
      <c r="F924" s="754"/>
      <c r="G924" s="756">
        <f>'Grap Balance Sheet'!D25-'Grap Balance Sheet'!F25</f>
        <v>-60611</v>
      </c>
      <c r="H924" s="757"/>
      <c r="I924" s="754">
        <f>'Grap Balance Sheet'!F25-18920858</f>
        <v>723455</v>
      </c>
      <c r="J924" s="732" t="s">
        <v>480</v>
      </c>
      <c r="K924" s="760" t="s">
        <v>530</v>
      </c>
      <c r="L924" s="761"/>
    </row>
    <row r="925" spans="1:12" s="732" customFormat="1" ht="15">
      <c r="A925" s="753"/>
      <c r="B925" s="776" t="s">
        <v>748</v>
      </c>
      <c r="C925" s="754"/>
      <c r="D925" s="754"/>
      <c r="E925" s="755"/>
      <c r="F925" s="754"/>
      <c r="G925" s="765">
        <f>'Grap Balance Sheet'!D23-'Grap Balance Sheet'!F23</f>
        <v>-1597092</v>
      </c>
      <c r="H925" s="757"/>
      <c r="I925" s="757">
        <f>'Grap Balance Sheet'!F23-128367082</f>
        <v>6136694</v>
      </c>
      <c r="J925" s="732" t="s">
        <v>531</v>
      </c>
      <c r="K925" s="760" t="s">
        <v>530</v>
      </c>
      <c r="L925" s="761"/>
    </row>
    <row r="926" spans="1:12" s="732" customFormat="1" ht="15">
      <c r="A926" s="753"/>
      <c r="B926" s="776" t="s">
        <v>1076</v>
      </c>
      <c r="C926" s="754"/>
      <c r="D926" s="754"/>
      <c r="E926" s="755"/>
      <c r="F926" s="754"/>
      <c r="G926" s="765">
        <f>'Grap Balance Sheet'!D27-'Grap Balance Sheet'!F27</f>
        <v>9030004</v>
      </c>
      <c r="H926" s="757"/>
      <c r="I926" s="757">
        <f>'Grap Balance Sheet'!F27-55506593</f>
        <v>-5076461</v>
      </c>
      <c r="J926" s="732" t="s">
        <v>480</v>
      </c>
      <c r="K926" s="760" t="s">
        <v>530</v>
      </c>
      <c r="L926" s="761"/>
    </row>
    <row r="927" spans="1:12" s="732" customFormat="1" ht="9" customHeight="1">
      <c r="A927" s="753"/>
      <c r="B927" s="776"/>
      <c r="C927" s="754"/>
      <c r="D927" s="754"/>
      <c r="E927" s="755"/>
      <c r="F927" s="754"/>
      <c r="G927" s="765"/>
      <c r="H927" s="757"/>
      <c r="I927" s="757"/>
      <c r="K927" s="760"/>
      <c r="L927" s="761"/>
    </row>
    <row r="928" spans="1:23" s="732" customFormat="1" ht="15.75" thickBot="1">
      <c r="A928" s="753"/>
      <c r="B928" s="795" t="s">
        <v>1688</v>
      </c>
      <c r="C928" s="755"/>
      <c r="D928" s="755"/>
      <c r="E928" s="755"/>
      <c r="F928" s="755"/>
      <c r="G928" s="771">
        <f>SUM(G918:G926)</f>
        <v>113475355</v>
      </c>
      <c r="H928" s="781"/>
      <c r="I928" s="778">
        <f>SUM(I918:I926)</f>
        <v>122108100</v>
      </c>
      <c r="J928" s="875">
        <f>Cashflow!C11</f>
        <v>113475355</v>
      </c>
      <c r="K928" s="760"/>
      <c r="L928" s="761"/>
      <c r="V928" s="754"/>
      <c r="W928" s="754"/>
    </row>
    <row r="929" spans="1:12" s="732" customFormat="1" ht="9" customHeight="1" thickTop="1">
      <c r="A929" s="753"/>
      <c r="B929" s="795"/>
      <c r="C929" s="755"/>
      <c r="D929" s="755"/>
      <c r="E929" s="755"/>
      <c r="F929" s="755"/>
      <c r="G929" s="796" t="s">
        <v>1587</v>
      </c>
      <c r="H929" s="781"/>
      <c r="I929" s="757"/>
      <c r="J929" s="875" t="s">
        <v>630</v>
      </c>
      <c r="K929" s="760"/>
      <c r="L929" s="761"/>
    </row>
    <row r="930" spans="1:12" s="732" customFormat="1" ht="15">
      <c r="A930" s="753">
        <f>A903+1</f>
        <v>26</v>
      </c>
      <c r="B930" s="795" t="s">
        <v>1487</v>
      </c>
      <c r="C930" s="755"/>
      <c r="D930" s="755"/>
      <c r="E930" s="755"/>
      <c r="F930" s="755"/>
      <c r="G930" s="796"/>
      <c r="H930" s="781"/>
      <c r="I930" s="754"/>
      <c r="J930" s="875" t="s">
        <v>1587</v>
      </c>
      <c r="K930" s="760"/>
      <c r="L930" s="761"/>
    </row>
    <row r="931" spans="1:12" s="732" customFormat="1" ht="9" customHeight="1">
      <c r="A931" s="799"/>
      <c r="B931" s="795"/>
      <c r="C931" s="755"/>
      <c r="D931" s="755"/>
      <c r="E931" s="755"/>
      <c r="F931" s="755"/>
      <c r="G931" s="796"/>
      <c r="H931" s="781"/>
      <c r="I931" s="754"/>
      <c r="K931" s="760"/>
      <c r="L931" s="761"/>
    </row>
    <row r="932" spans="1:12" s="732" customFormat="1" ht="15">
      <c r="A932" s="753"/>
      <c r="B932" s="1273" t="s">
        <v>1079</v>
      </c>
      <c r="C932" s="1273"/>
      <c r="D932" s="1273"/>
      <c r="E932" s="1273"/>
      <c r="F932" s="776"/>
      <c r="G932" s="812"/>
      <c r="H932" s="815"/>
      <c r="I932" s="776"/>
      <c r="J932" s="732" t="s">
        <v>1587</v>
      </c>
      <c r="K932" s="760"/>
      <c r="L932" s="761"/>
    </row>
    <row r="933" spans="1:12" s="732" customFormat="1" ht="9" customHeight="1">
      <c r="A933" s="753"/>
      <c r="B933" s="776"/>
      <c r="C933" s="776"/>
      <c r="D933" s="776"/>
      <c r="E933" s="776"/>
      <c r="F933" s="776"/>
      <c r="G933" s="812"/>
      <c r="H933" s="815"/>
      <c r="I933" s="776"/>
      <c r="K933" s="760"/>
      <c r="L933" s="761"/>
    </row>
    <row r="934" spans="1:12" s="732" customFormat="1" ht="15">
      <c r="A934" s="753"/>
      <c r="B934" s="795" t="s">
        <v>894</v>
      </c>
      <c r="C934" s="776"/>
      <c r="D934" s="776"/>
      <c r="E934" s="776"/>
      <c r="F934" s="776"/>
      <c r="G934" s="876">
        <f>SUM(G936:G937)</f>
        <v>17054533</v>
      </c>
      <c r="H934" s="876"/>
      <c r="I934" s="876">
        <v>6033152</v>
      </c>
      <c r="K934" s="760"/>
      <c r="L934" s="761"/>
    </row>
    <row r="935" spans="1:12" s="732" customFormat="1" ht="9" customHeight="1">
      <c r="A935" s="753"/>
      <c r="B935" s="776"/>
      <c r="C935" s="776"/>
      <c r="D935" s="776"/>
      <c r="E935" s="776"/>
      <c r="F935" s="776"/>
      <c r="G935" s="812"/>
      <c r="H935" s="815"/>
      <c r="I935" s="860"/>
      <c r="J935" s="732" t="s">
        <v>576</v>
      </c>
      <c r="K935" s="760"/>
      <c r="L935" s="761"/>
    </row>
    <row r="936" spans="1:12" s="732" customFormat="1" ht="15">
      <c r="A936" s="753"/>
      <c r="B936" s="776" t="s">
        <v>305</v>
      </c>
      <c r="C936" s="776"/>
      <c r="D936" s="776"/>
      <c r="E936" s="776"/>
      <c r="F936" s="776"/>
      <c r="G936" s="877">
        <f>G530</f>
        <v>17017284</v>
      </c>
      <c r="H936" s="815"/>
      <c r="I936" s="877">
        <v>5998776</v>
      </c>
      <c r="K936" s="760"/>
      <c r="L936" s="761"/>
    </row>
    <row r="937" spans="1:12" s="732" customFormat="1" ht="15">
      <c r="A937" s="753"/>
      <c r="B937" s="776" t="s">
        <v>1021</v>
      </c>
      <c r="C937" s="776"/>
      <c r="D937" s="776"/>
      <c r="E937" s="776"/>
      <c r="F937" s="776"/>
      <c r="G937" s="878">
        <f>G529</f>
        <v>37249</v>
      </c>
      <c r="H937" s="815"/>
      <c r="I937" s="878">
        <v>34376</v>
      </c>
      <c r="J937" s="732" t="s">
        <v>345</v>
      </c>
      <c r="K937" s="760"/>
      <c r="L937" s="761"/>
    </row>
    <row r="938" spans="1:12" s="732" customFormat="1" ht="9" customHeight="1">
      <c r="A938" s="753"/>
      <c r="B938" s="776"/>
      <c r="C938" s="776"/>
      <c r="D938" s="776"/>
      <c r="E938" s="776"/>
      <c r="F938" s="776"/>
      <c r="G938" s="836"/>
      <c r="H938" s="815"/>
      <c r="I938" s="836"/>
      <c r="K938" s="760"/>
      <c r="L938" s="761"/>
    </row>
    <row r="939" spans="1:12" s="732" customFormat="1" ht="15">
      <c r="A939" s="753"/>
      <c r="B939" s="795" t="s">
        <v>1616</v>
      </c>
      <c r="C939" s="776"/>
      <c r="D939" s="776"/>
      <c r="E939" s="776"/>
      <c r="F939" s="776"/>
      <c r="G939" s="840">
        <f>SUM(G941:G942)</f>
        <v>20847023</v>
      </c>
      <c r="H939" s="840"/>
      <c r="I939" s="840">
        <v>54048267</v>
      </c>
      <c r="K939" s="760"/>
      <c r="L939" s="761"/>
    </row>
    <row r="940" spans="1:12" s="732" customFormat="1" ht="9" customHeight="1">
      <c r="A940" s="753"/>
      <c r="B940" s="776"/>
      <c r="C940" s="776"/>
      <c r="D940" s="776"/>
      <c r="E940" s="776"/>
      <c r="F940" s="776"/>
      <c r="G940" s="836"/>
      <c r="H940" s="815"/>
      <c r="I940" s="836"/>
      <c r="K940" s="760"/>
      <c r="L940" s="761"/>
    </row>
    <row r="941" spans="1:12" s="732" customFormat="1" ht="15">
      <c r="A941" s="753"/>
      <c r="B941" s="776" t="s">
        <v>866</v>
      </c>
      <c r="C941" s="776"/>
      <c r="D941" s="776"/>
      <c r="E941" s="776"/>
      <c r="F941" s="776"/>
      <c r="G941" s="877">
        <f>G235</f>
        <v>20847023</v>
      </c>
      <c r="H941" s="815"/>
      <c r="I941" s="877">
        <v>47916458</v>
      </c>
      <c r="K941" s="760"/>
      <c r="L941" s="761"/>
    </row>
    <row r="942" spans="1:12" s="732" customFormat="1" ht="15">
      <c r="A942" s="753"/>
      <c r="B942" s="776" t="s">
        <v>1022</v>
      </c>
      <c r="C942" s="776"/>
      <c r="D942" s="776"/>
      <c r="E942" s="776"/>
      <c r="F942" s="776"/>
      <c r="G942" s="878">
        <f>G234</f>
        <v>0</v>
      </c>
      <c r="H942" s="815"/>
      <c r="I942" s="878">
        <v>6131809</v>
      </c>
      <c r="K942" s="760"/>
      <c r="L942" s="761"/>
    </row>
    <row r="943" spans="1:12" s="732" customFormat="1" ht="9" customHeight="1">
      <c r="A943" s="753"/>
      <c r="B943" s="776"/>
      <c r="C943" s="754"/>
      <c r="D943" s="754"/>
      <c r="E943" s="755"/>
      <c r="F943" s="754"/>
      <c r="G943" s="836"/>
      <c r="H943" s="757"/>
      <c r="I943" s="836"/>
      <c r="J943" s="875"/>
      <c r="K943" s="760"/>
      <c r="L943" s="761"/>
    </row>
    <row r="944" spans="1:13" s="732" customFormat="1" ht="15" hidden="1">
      <c r="A944" s="753"/>
      <c r="B944" s="795" t="s">
        <v>1491</v>
      </c>
      <c r="C944" s="755"/>
      <c r="D944" s="755"/>
      <c r="E944" s="755" t="s">
        <v>1587</v>
      </c>
      <c r="F944" s="755"/>
      <c r="G944" s="879">
        <f>SUM(G936:G942)</f>
        <v>58748579</v>
      </c>
      <c r="H944" s="781"/>
      <c r="I944" s="879">
        <v>114129686</v>
      </c>
      <c r="J944" s="732" t="s">
        <v>346</v>
      </c>
      <c r="K944" s="760"/>
      <c r="L944" s="761">
        <v>47916458</v>
      </c>
      <c r="M944" s="732" t="s">
        <v>542</v>
      </c>
    </row>
    <row r="945" spans="1:12" s="732" customFormat="1" ht="9" customHeight="1">
      <c r="A945" s="753"/>
      <c r="B945" s="795"/>
      <c r="C945" s="755"/>
      <c r="D945" s="755"/>
      <c r="E945" s="755"/>
      <c r="F945" s="755"/>
      <c r="G945" s="772"/>
      <c r="H945" s="781"/>
      <c r="I945" s="770"/>
      <c r="K945" s="760"/>
      <c r="L945" s="761"/>
    </row>
    <row r="946" spans="1:13" s="732" customFormat="1" ht="15.75" thickBot="1">
      <c r="A946" s="753"/>
      <c r="B946" s="795" t="s">
        <v>1491</v>
      </c>
      <c r="C946" s="755"/>
      <c r="D946" s="755"/>
      <c r="E946" s="755"/>
      <c r="F946" s="755"/>
      <c r="G946" s="771">
        <f>G934+G939</f>
        <v>37901556</v>
      </c>
      <c r="H946" s="781"/>
      <c r="I946" s="771">
        <f>I934+I939</f>
        <v>60081419</v>
      </c>
      <c r="J946" s="732" t="s">
        <v>481</v>
      </c>
      <c r="K946" s="760"/>
      <c r="L946" s="761" t="e">
        <f>#REF!</f>
        <v>#REF!</v>
      </c>
      <c r="M946" s="732" t="s">
        <v>543</v>
      </c>
    </row>
    <row r="947" spans="1:12" s="732" customFormat="1" ht="9" customHeight="1" thickTop="1">
      <c r="A947" s="753"/>
      <c r="B947" s="795"/>
      <c r="C947" s="755"/>
      <c r="D947" s="755"/>
      <c r="E947" s="755"/>
      <c r="F947" s="755"/>
      <c r="G947" s="780"/>
      <c r="H947" s="781"/>
      <c r="I947" s="765"/>
      <c r="K947" s="760"/>
      <c r="L947" s="761"/>
    </row>
    <row r="948" spans="1:12" s="732" customFormat="1" ht="15">
      <c r="A948" s="753"/>
      <c r="B948" s="880" t="s">
        <v>1023</v>
      </c>
      <c r="C948" s="880"/>
      <c r="D948" s="755"/>
      <c r="E948" s="755"/>
      <c r="F948" s="755"/>
      <c r="G948" s="780"/>
      <c r="H948" s="781"/>
      <c r="I948" s="765"/>
      <c r="K948" s="760"/>
      <c r="L948" s="761"/>
    </row>
    <row r="949" spans="1:12" s="732" customFormat="1" ht="9" customHeight="1">
      <c r="A949" s="753"/>
      <c r="B949" s="880"/>
      <c r="C949" s="880"/>
      <c r="D949" s="755"/>
      <c r="E949" s="755"/>
      <c r="F949" s="755"/>
      <c r="G949" s="1131"/>
      <c r="H949" s="1132"/>
      <c r="I949" s="1133"/>
      <c r="K949" s="760"/>
      <c r="L949" s="761"/>
    </row>
    <row r="950" spans="1:12" s="732" customFormat="1" ht="15">
      <c r="A950" s="753"/>
      <c r="B950" s="776" t="s">
        <v>903</v>
      </c>
      <c r="C950" s="754"/>
      <c r="D950" s="754"/>
      <c r="E950" s="754"/>
      <c r="F950" s="754"/>
      <c r="G950" s="1134">
        <f>4688555+3191349+11997638</f>
        <v>19877542</v>
      </c>
      <c r="H950" s="1100"/>
      <c r="I950" s="1134">
        <v>31082046</v>
      </c>
      <c r="J950" s="732" t="s">
        <v>577</v>
      </c>
      <c r="K950" s="760"/>
      <c r="L950" s="761"/>
    </row>
    <row r="951" spans="1:12" s="732" customFormat="1" ht="15">
      <c r="A951" s="753"/>
      <c r="B951" s="776" t="s">
        <v>1236</v>
      </c>
      <c r="C951" s="754"/>
      <c r="D951" s="754"/>
      <c r="E951" s="754"/>
      <c r="F951" s="754"/>
      <c r="G951" s="1135" t="s">
        <v>957</v>
      </c>
      <c r="H951" s="1100"/>
      <c r="I951" s="1134">
        <v>7084123</v>
      </c>
      <c r="K951" s="760"/>
      <c r="L951" s="761"/>
    </row>
    <row r="952" spans="1:12" s="732" customFormat="1" ht="15">
      <c r="A952" s="753"/>
      <c r="B952" s="776" t="s">
        <v>773</v>
      </c>
      <c r="C952" s="754"/>
      <c r="D952" s="754"/>
      <c r="E952" s="754"/>
      <c r="F952" s="754"/>
      <c r="G952" s="1134">
        <f>G515</f>
        <v>160134</v>
      </c>
      <c r="H952" s="1100"/>
      <c r="I952" s="1134">
        <v>12696</v>
      </c>
      <c r="J952" s="758" t="s">
        <v>1587</v>
      </c>
      <c r="K952" s="760"/>
      <c r="L952" s="761"/>
    </row>
    <row r="953" spans="1:12" s="732" customFormat="1" ht="15">
      <c r="A953" s="753"/>
      <c r="B953" s="776" t="s">
        <v>1024</v>
      </c>
      <c r="C953" s="754"/>
      <c r="D953" s="754"/>
      <c r="E953" s="754"/>
      <c r="F953" s="754"/>
      <c r="G953" s="1135" t="s">
        <v>957</v>
      </c>
      <c r="H953" s="1100"/>
      <c r="I953" s="1134">
        <v>15843598</v>
      </c>
      <c r="J953" s="732" t="s">
        <v>1587</v>
      </c>
      <c r="K953" s="760"/>
      <c r="L953" s="761"/>
    </row>
    <row r="954" spans="1:12" s="732" customFormat="1" ht="15">
      <c r="A954" s="753"/>
      <c r="B954" s="776" t="s">
        <v>629</v>
      </c>
      <c r="C954" s="754"/>
      <c r="D954" s="754"/>
      <c r="E954" s="754"/>
      <c r="F954" s="754"/>
      <c r="G954" s="1135">
        <v>8591585</v>
      </c>
      <c r="H954" s="1100"/>
      <c r="I954" s="1135" t="s">
        <v>957</v>
      </c>
      <c r="K954" s="760"/>
      <c r="L954" s="761"/>
    </row>
    <row r="955" spans="1:12" s="732" customFormat="1" ht="9" customHeight="1">
      <c r="A955" s="753"/>
      <c r="B955" s="776"/>
      <c r="C955" s="754"/>
      <c r="D955" s="754"/>
      <c r="E955" s="754"/>
      <c r="F955" s="754"/>
      <c r="G955" s="1134"/>
      <c r="H955" s="1100"/>
      <c r="I955" s="1134"/>
      <c r="K955" s="760"/>
      <c r="L955" s="761"/>
    </row>
    <row r="956" spans="1:12" s="732" customFormat="1" ht="15.75" thickBot="1">
      <c r="A956" s="753"/>
      <c r="B956" s="795"/>
      <c r="C956" s="755"/>
      <c r="D956" s="755"/>
      <c r="E956" s="755"/>
      <c r="F956" s="755"/>
      <c r="G956" s="1022">
        <f>SUM(G950:G954)</f>
        <v>28629261</v>
      </c>
      <c r="H956" s="1132"/>
      <c r="I956" s="1022">
        <f>SUM(I950:I954)</f>
        <v>54022463</v>
      </c>
      <c r="K956" s="760"/>
      <c r="L956" s="761"/>
    </row>
    <row r="957" spans="1:12" s="748" customFormat="1" ht="9" customHeight="1" thickTop="1">
      <c r="A957" s="753"/>
      <c r="B957" s="776"/>
      <c r="C957" s="754"/>
      <c r="D957" s="754"/>
      <c r="E957" s="754"/>
      <c r="F957" s="754"/>
      <c r="G957" s="1133"/>
      <c r="H957" s="1100"/>
      <c r="I957" s="1133"/>
      <c r="K957" s="760"/>
      <c r="L957" s="842"/>
    </row>
    <row r="958" spans="1:12" s="748" customFormat="1" ht="21" customHeight="1">
      <c r="A958" s="753"/>
      <c r="B958" s="776"/>
      <c r="C958" s="754"/>
      <c r="D958" s="754"/>
      <c r="E958" s="754"/>
      <c r="F958" s="754"/>
      <c r="G958" s="1133"/>
      <c r="H958" s="1100"/>
      <c r="I958" s="1133"/>
      <c r="K958" s="760"/>
      <c r="L958" s="842"/>
    </row>
    <row r="959" spans="1:12" s="748" customFormat="1" ht="21.75" customHeight="1">
      <c r="A959" s="753"/>
      <c r="B959" s="776"/>
      <c r="C959" s="754"/>
      <c r="D959" s="754"/>
      <c r="E959" s="754"/>
      <c r="F959" s="754"/>
      <c r="G959" s="1133"/>
      <c r="H959" s="1100"/>
      <c r="I959" s="1133"/>
      <c r="K959" s="760"/>
      <c r="L959" s="842"/>
    </row>
    <row r="960" spans="1:12" s="748" customFormat="1" ht="9" customHeight="1">
      <c r="A960" s="753"/>
      <c r="B960" s="776"/>
      <c r="C960" s="754"/>
      <c r="D960" s="754"/>
      <c r="E960" s="754"/>
      <c r="F960" s="754"/>
      <c r="G960" s="1133"/>
      <c r="H960" s="1100"/>
      <c r="I960" s="1133"/>
      <c r="K960" s="760"/>
      <c r="L960" s="842"/>
    </row>
    <row r="961" spans="1:12" s="748" customFormat="1" ht="9" customHeight="1">
      <c r="A961" s="753"/>
      <c r="B961" s="776"/>
      <c r="C961" s="754"/>
      <c r="D961" s="754"/>
      <c r="E961" s="754"/>
      <c r="F961" s="754"/>
      <c r="G961" s="1133"/>
      <c r="H961" s="1100"/>
      <c r="I961" s="1133"/>
      <c r="K961" s="760"/>
      <c r="L961" s="842"/>
    </row>
    <row r="962" spans="1:12" s="748" customFormat="1" ht="9" customHeight="1">
      <c r="A962" s="753"/>
      <c r="B962" s="776"/>
      <c r="C962" s="754"/>
      <c r="D962" s="754"/>
      <c r="E962" s="754"/>
      <c r="F962" s="754"/>
      <c r="G962" s="1133"/>
      <c r="H962" s="1100"/>
      <c r="I962" s="1133"/>
      <c r="K962" s="760"/>
      <c r="L962" s="842"/>
    </row>
    <row r="963" spans="1:12" s="821" customFormat="1" ht="15">
      <c r="A963" s="1271" t="s">
        <v>63</v>
      </c>
      <c r="B963" s="1271"/>
      <c r="C963" s="1271"/>
      <c r="D963" s="1271"/>
      <c r="E963" s="1271"/>
      <c r="F963" s="1271"/>
      <c r="G963" s="1271"/>
      <c r="H963" s="1271"/>
      <c r="I963" s="1271"/>
      <c r="K963" s="822"/>
      <c r="L963" s="823"/>
    </row>
    <row r="964" spans="1:12" s="748" customFormat="1" ht="9" customHeight="1">
      <c r="A964" s="753"/>
      <c r="B964" s="776"/>
      <c r="C964" s="754"/>
      <c r="D964" s="754"/>
      <c r="E964" s="754"/>
      <c r="F964" s="754"/>
      <c r="G964" s="1133"/>
      <c r="H964" s="1100"/>
      <c r="I964" s="1133"/>
      <c r="K964" s="760"/>
      <c r="L964" s="842"/>
    </row>
    <row r="965" spans="1:12" s="748" customFormat="1" ht="9" customHeight="1">
      <c r="A965" s="753"/>
      <c r="B965" s="776"/>
      <c r="C965" s="754"/>
      <c r="D965" s="754"/>
      <c r="E965" s="754"/>
      <c r="F965" s="754"/>
      <c r="G965" s="1133"/>
      <c r="H965" s="1100"/>
      <c r="I965" s="1133"/>
      <c r="K965" s="760"/>
      <c r="L965" s="842"/>
    </row>
    <row r="966" spans="1:12" s="732" customFormat="1" ht="15">
      <c r="A966" s="753"/>
      <c r="B966" s="1274" t="s">
        <v>1078</v>
      </c>
      <c r="C966" s="1275"/>
      <c r="D966" s="1275"/>
      <c r="E966" s="1275"/>
      <c r="F966" s="776"/>
      <c r="G966" s="776"/>
      <c r="H966" s="776"/>
      <c r="I966" s="776"/>
      <c r="K966" s="760"/>
      <c r="L966" s="761"/>
    </row>
    <row r="967" spans="1:12" s="732" customFormat="1" ht="9" customHeight="1">
      <c r="A967" s="753"/>
      <c r="B967" s="795"/>
      <c r="C967" s="755"/>
      <c r="D967" s="755"/>
      <c r="E967" s="755"/>
      <c r="F967" s="755"/>
      <c r="G967" s="796"/>
      <c r="H967" s="781"/>
      <c r="I967" s="757"/>
      <c r="K967" s="760"/>
      <c r="L967" s="761"/>
    </row>
    <row r="968" spans="1:12" s="732" customFormat="1" ht="15.75" thickBot="1">
      <c r="A968" s="753">
        <f>A930+1</f>
        <v>27</v>
      </c>
      <c r="B968" s="1278" t="s">
        <v>1492</v>
      </c>
      <c r="C968" s="1278"/>
      <c r="D968" s="1278"/>
      <c r="E968" s="1278"/>
      <c r="F968" s="1278"/>
      <c r="G968" s="1278"/>
      <c r="H968" s="1278"/>
      <c r="I968" s="1278"/>
      <c r="K968" s="760"/>
      <c r="L968" s="881" t="e">
        <f>SUM(L944:L946)</f>
        <v>#REF!</v>
      </c>
    </row>
    <row r="969" ht="9" customHeight="1" thickTop="1"/>
    <row r="970" spans="1:12" s="732" customFormat="1" ht="15">
      <c r="A970" s="753"/>
      <c r="B970" s="1278" t="s">
        <v>378</v>
      </c>
      <c r="C970" s="1278"/>
      <c r="D970" s="813"/>
      <c r="E970" s="755"/>
      <c r="F970" s="755"/>
      <c r="G970" s="796"/>
      <c r="H970" s="781"/>
      <c r="I970" s="754"/>
      <c r="K970" s="760"/>
      <c r="L970" s="761"/>
    </row>
    <row r="971" spans="1:12" s="732" customFormat="1" ht="9" customHeight="1">
      <c r="A971" s="753"/>
      <c r="B971" s="795"/>
      <c r="C971" s="795"/>
      <c r="D971" s="813"/>
      <c r="E971" s="755"/>
      <c r="F971" s="755"/>
      <c r="G971" s="796"/>
      <c r="H971" s="781"/>
      <c r="I971" s="754"/>
      <c r="K971" s="760"/>
      <c r="L971" s="761"/>
    </row>
    <row r="972" spans="1:12" s="732" customFormat="1" ht="15">
      <c r="A972" s="753"/>
      <c r="B972" s="1278" t="s">
        <v>178</v>
      </c>
      <c r="C972" s="1278"/>
      <c r="D972" s="795"/>
      <c r="E972" s="755"/>
      <c r="F972" s="755"/>
      <c r="G972" s="796"/>
      <c r="H972" s="781"/>
      <c r="I972" s="754"/>
      <c r="K972" s="760"/>
      <c r="L972" s="761"/>
    </row>
    <row r="973" spans="1:12" s="732" customFormat="1" ht="9" customHeight="1">
      <c r="A973" s="753"/>
      <c r="B973" s="795"/>
      <c r="C973" s="795"/>
      <c r="D973" s="795"/>
      <c r="E973" s="755"/>
      <c r="F973" s="755"/>
      <c r="G973" s="796"/>
      <c r="H973" s="781"/>
      <c r="I973" s="754"/>
      <c r="K973" s="760"/>
      <c r="L973" s="761"/>
    </row>
    <row r="974" spans="1:12" s="732" customFormat="1" ht="15">
      <c r="A974" s="753"/>
      <c r="B974" s="1273" t="s">
        <v>961</v>
      </c>
      <c r="C974" s="1273"/>
      <c r="D974" s="776"/>
      <c r="E974" s="755"/>
      <c r="F974" s="755"/>
      <c r="G974" s="777">
        <f>I979</f>
        <v>328686</v>
      </c>
      <c r="H974" s="781"/>
      <c r="I974" s="1121" t="s">
        <v>957</v>
      </c>
      <c r="J974" s="732" t="s">
        <v>482</v>
      </c>
      <c r="K974" s="760"/>
      <c r="L974" s="761"/>
    </row>
    <row r="975" spans="1:12" s="732" customFormat="1" ht="9" customHeight="1">
      <c r="A975" s="753"/>
      <c r="B975" s="776"/>
      <c r="C975" s="776"/>
      <c r="D975" s="776"/>
      <c r="E975" s="755"/>
      <c r="F975" s="755"/>
      <c r="G975" s="777"/>
      <c r="H975" s="781"/>
      <c r="I975" s="756"/>
      <c r="K975" s="760"/>
      <c r="L975" s="761"/>
    </row>
    <row r="976" spans="1:12" s="732" customFormat="1" ht="15">
      <c r="A976" s="753"/>
      <c r="B976" s="1273" t="s">
        <v>1495</v>
      </c>
      <c r="C976" s="1273"/>
      <c r="D976" s="776"/>
      <c r="E976" s="755"/>
      <c r="F976" s="755"/>
      <c r="G976" s="777">
        <v>1095760</v>
      </c>
      <c r="H976" s="781"/>
      <c r="I976" s="756">
        <v>999632</v>
      </c>
      <c r="K976" s="760"/>
      <c r="L976" s="761"/>
    </row>
    <row r="977" spans="1:12" s="732" customFormat="1" ht="15">
      <c r="A977" s="753"/>
      <c r="B977" s="1273" t="s">
        <v>1496</v>
      </c>
      <c r="C977" s="1273"/>
      <c r="D977" s="776"/>
      <c r="E977" s="755"/>
      <c r="F977" s="755"/>
      <c r="G977" s="777">
        <v>-1424446</v>
      </c>
      <c r="H977" s="781"/>
      <c r="I977" s="756">
        <v>-670946</v>
      </c>
      <c r="K977" s="760"/>
      <c r="L977" s="761"/>
    </row>
    <row r="978" spans="1:12" s="732" customFormat="1" ht="9" customHeight="1">
      <c r="A978" s="753"/>
      <c r="B978" s="776"/>
      <c r="C978" s="776"/>
      <c r="D978" s="776"/>
      <c r="E978" s="755"/>
      <c r="F978" s="755"/>
      <c r="G978" s="777"/>
      <c r="H978" s="781"/>
      <c r="I978" s="756"/>
      <c r="K978" s="760"/>
      <c r="L978" s="761"/>
    </row>
    <row r="979" spans="1:12" s="732" customFormat="1" ht="15.75" thickBot="1">
      <c r="A979" s="753"/>
      <c r="B979" s="1273" t="s">
        <v>540</v>
      </c>
      <c r="C979" s="1273"/>
      <c r="D979" s="795"/>
      <c r="E979" s="755"/>
      <c r="F979" s="755"/>
      <c r="G979" s="857">
        <f>SUM(G974:G977)</f>
        <v>0</v>
      </c>
      <c r="H979" s="781"/>
      <c r="I979" s="771">
        <v>328686</v>
      </c>
      <c r="K979" s="760"/>
      <c r="L979" s="761"/>
    </row>
    <row r="980" spans="1:12" s="732" customFormat="1" ht="9" customHeight="1" thickTop="1">
      <c r="A980" s="753"/>
      <c r="B980" s="795"/>
      <c r="C980" s="795"/>
      <c r="D980" s="795"/>
      <c r="E980" s="755"/>
      <c r="F980" s="755"/>
      <c r="G980" s="780"/>
      <c r="H980" s="781"/>
      <c r="I980" s="765"/>
      <c r="K980" s="760"/>
      <c r="L980" s="761"/>
    </row>
    <row r="981" spans="1:12" s="732" customFormat="1" ht="15">
      <c r="A981" s="731"/>
      <c r="B981" s="795" t="s">
        <v>379</v>
      </c>
      <c r="C981" s="755"/>
      <c r="D981" s="755"/>
      <c r="E981" s="755"/>
      <c r="F981" s="755"/>
      <c r="G981" s="796"/>
      <c r="H981" s="781"/>
      <c r="I981" s="758"/>
      <c r="K981" s="760"/>
      <c r="L981" s="761"/>
    </row>
    <row r="982" spans="1:12" s="732" customFormat="1" ht="9" customHeight="1">
      <c r="A982" s="731"/>
      <c r="B982" s="795"/>
      <c r="C982" s="755"/>
      <c r="D982" s="755"/>
      <c r="E982" s="755"/>
      <c r="F982" s="755"/>
      <c r="G982" s="796"/>
      <c r="H982" s="781"/>
      <c r="I982" s="758"/>
      <c r="J982" s="732" t="s">
        <v>611</v>
      </c>
      <c r="K982" s="760"/>
      <c r="L982" s="761"/>
    </row>
    <row r="983" spans="1:12" s="732" customFormat="1" ht="15">
      <c r="A983" s="753"/>
      <c r="B983" s="1273" t="s">
        <v>961</v>
      </c>
      <c r="C983" s="1273"/>
      <c r="D983" s="755"/>
      <c r="E983" s="755"/>
      <c r="F983" s="755"/>
      <c r="G983" s="777">
        <f>I988</f>
        <v>8330</v>
      </c>
      <c r="H983" s="781"/>
      <c r="I983" s="1121" t="s">
        <v>957</v>
      </c>
      <c r="K983" s="760"/>
      <c r="L983" s="761"/>
    </row>
    <row r="984" spans="1:12" s="732" customFormat="1" ht="9" customHeight="1">
      <c r="A984" s="753"/>
      <c r="B984" s="776"/>
      <c r="C984" s="776"/>
      <c r="D984" s="755"/>
      <c r="E984" s="755"/>
      <c r="F984" s="755"/>
      <c r="G984" s="777"/>
      <c r="H984" s="781"/>
      <c r="I984" s="756"/>
      <c r="K984" s="760"/>
      <c r="L984" s="761"/>
    </row>
    <row r="985" spans="1:12" s="732" customFormat="1" ht="15">
      <c r="A985" s="753"/>
      <c r="B985" s="776" t="s">
        <v>1501</v>
      </c>
      <c r="C985" s="755"/>
      <c r="D985" s="755"/>
      <c r="E985" s="755"/>
      <c r="F985" s="755"/>
      <c r="G985" s="756">
        <v>2518514</v>
      </c>
      <c r="H985" s="781"/>
      <c r="I985" s="756">
        <v>1235159</v>
      </c>
      <c r="K985" s="760"/>
      <c r="L985" s="761"/>
    </row>
    <row r="986" spans="1:12" s="732" customFormat="1" ht="15">
      <c r="A986" s="753"/>
      <c r="B986" s="776" t="s">
        <v>1496</v>
      </c>
      <c r="C986" s="755"/>
      <c r="D986" s="755"/>
      <c r="E986" s="755"/>
      <c r="F986" s="755"/>
      <c r="G986" s="756">
        <f>-2442992-8330</f>
        <v>-2451322</v>
      </c>
      <c r="H986" s="781"/>
      <c r="I986" s="756">
        <v>-1226829</v>
      </c>
      <c r="J986" s="732" t="s">
        <v>610</v>
      </c>
      <c r="K986" s="760"/>
      <c r="L986" s="761"/>
    </row>
    <row r="987" spans="1:12" s="732" customFormat="1" ht="9" customHeight="1">
      <c r="A987" s="753"/>
      <c r="B987" s="776"/>
      <c r="C987" s="755"/>
      <c r="D987" s="755"/>
      <c r="E987" s="755"/>
      <c r="F987" s="755"/>
      <c r="G987" s="756"/>
      <c r="H987" s="781"/>
      <c r="I987" s="756"/>
      <c r="K987" s="760"/>
      <c r="L987" s="761"/>
    </row>
    <row r="988" spans="1:12" s="732" customFormat="1" ht="15.75" thickBot="1">
      <c r="A988" s="753"/>
      <c r="B988" s="1273" t="s">
        <v>540</v>
      </c>
      <c r="C988" s="1273"/>
      <c r="D988" s="755"/>
      <c r="E988" s="755"/>
      <c r="F988" s="755"/>
      <c r="G988" s="771">
        <f>SUM(G983:G986)</f>
        <v>75522</v>
      </c>
      <c r="H988" s="781"/>
      <c r="I988" s="771">
        <f>SUM(I983:I986)</f>
        <v>8330</v>
      </c>
      <c r="K988" s="760"/>
      <c r="L988" s="761"/>
    </row>
    <row r="989" spans="11:12" s="821" customFormat="1" ht="9" customHeight="1" thickTop="1">
      <c r="K989" s="822"/>
      <c r="L989" s="823"/>
    </row>
    <row r="990" spans="1:12" s="732" customFormat="1" ht="15">
      <c r="A990" s="753"/>
      <c r="B990" s="795" t="s">
        <v>380</v>
      </c>
      <c r="C990" s="755"/>
      <c r="D990" s="755"/>
      <c r="E990" s="755"/>
      <c r="F990" s="755"/>
      <c r="G990" s="796"/>
      <c r="H990" s="781"/>
      <c r="I990" s="754"/>
      <c r="K990" s="760"/>
      <c r="L990" s="761"/>
    </row>
    <row r="991" spans="1:12" s="732" customFormat="1" ht="9" customHeight="1">
      <c r="A991" s="753"/>
      <c r="B991" s="795"/>
      <c r="C991" s="755"/>
      <c r="D991" s="755"/>
      <c r="E991" s="755"/>
      <c r="F991" s="755"/>
      <c r="G991" s="796"/>
      <c r="H991" s="781"/>
      <c r="I991" s="754"/>
      <c r="K991" s="760"/>
      <c r="L991" s="761"/>
    </row>
    <row r="992" spans="1:12" s="732" customFormat="1" ht="15">
      <c r="A992" s="753"/>
      <c r="B992" s="1274" t="s">
        <v>1237</v>
      </c>
      <c r="C992" s="1275"/>
      <c r="D992" s="1275"/>
      <c r="E992" s="1275"/>
      <c r="F992" s="755"/>
      <c r="G992" s="796"/>
      <c r="H992" s="781"/>
      <c r="I992" s="754"/>
      <c r="K992" s="760"/>
      <c r="L992" s="761"/>
    </row>
    <row r="993" spans="1:12" s="821" customFormat="1" ht="9" customHeight="1">
      <c r="A993" s="1271"/>
      <c r="B993" s="1271"/>
      <c r="C993" s="1271"/>
      <c r="D993" s="1271"/>
      <c r="E993" s="1271"/>
      <c r="F993" s="1271"/>
      <c r="G993" s="1271"/>
      <c r="H993" s="1271"/>
      <c r="I993" s="1271"/>
      <c r="K993" s="822"/>
      <c r="L993" s="823"/>
    </row>
    <row r="994" spans="1:12" s="732" customFormat="1" ht="15">
      <c r="A994" s="753"/>
      <c r="B994" s="795" t="s">
        <v>381</v>
      </c>
      <c r="C994" s="755"/>
      <c r="D994" s="755"/>
      <c r="E994" s="755"/>
      <c r="F994" s="755"/>
      <c r="G994" s="796"/>
      <c r="H994" s="781"/>
      <c r="I994" s="754"/>
      <c r="K994" s="760"/>
      <c r="L994" s="761"/>
    </row>
    <row r="995" spans="1:12" s="732" customFormat="1" ht="9" customHeight="1">
      <c r="A995" s="753"/>
      <c r="B995" s="795"/>
      <c r="C995" s="755"/>
      <c r="D995" s="755"/>
      <c r="E995" s="755"/>
      <c r="F995" s="755"/>
      <c r="G995" s="796"/>
      <c r="H995" s="781"/>
      <c r="I995" s="754"/>
      <c r="K995" s="760"/>
      <c r="L995" s="761"/>
    </row>
    <row r="996" spans="1:12" s="732" customFormat="1" ht="15">
      <c r="A996" s="753"/>
      <c r="B996" s="1273" t="s">
        <v>961</v>
      </c>
      <c r="C996" s="1273"/>
      <c r="D996" s="755"/>
      <c r="E996" s="755"/>
      <c r="F996" s="755"/>
      <c r="G996" s="756">
        <f>I1001</f>
        <v>3521287</v>
      </c>
      <c r="H996" s="781"/>
      <c r="I996" s="756">
        <v>2300845</v>
      </c>
      <c r="J996" s="732" t="s">
        <v>1587</v>
      </c>
      <c r="K996" s="760"/>
      <c r="L996" s="761"/>
    </row>
    <row r="997" spans="1:12" s="732" customFormat="1" ht="15">
      <c r="A997" s="753"/>
      <c r="B997" s="776" t="s">
        <v>1505</v>
      </c>
      <c r="C997" s="755"/>
      <c r="D997" s="755"/>
      <c r="E997" s="755"/>
      <c r="F997" s="755"/>
      <c r="G997" s="756">
        <v>39030010</v>
      </c>
      <c r="H997" s="781"/>
      <c r="I997" s="756">
        <v>44591043</v>
      </c>
      <c r="J997" s="761" t="s">
        <v>937</v>
      </c>
      <c r="K997" s="760" t="s">
        <v>483</v>
      </c>
      <c r="L997" s="761"/>
    </row>
    <row r="998" spans="1:12" s="732" customFormat="1" ht="15">
      <c r="A998" s="753"/>
      <c r="B998" s="776" t="s">
        <v>1496</v>
      </c>
      <c r="C998" s="755"/>
      <c r="D998" s="755"/>
      <c r="E998" s="755"/>
      <c r="F998" s="755"/>
      <c r="G998" s="756">
        <v>-36112804</v>
      </c>
      <c r="H998" s="781"/>
      <c r="I998" s="756">
        <v>-36767927</v>
      </c>
      <c r="J998" s="842" t="s">
        <v>598</v>
      </c>
      <c r="K998" s="760" t="s">
        <v>1587</v>
      </c>
      <c r="L998" s="761"/>
    </row>
    <row r="999" spans="1:12" s="732" customFormat="1" ht="15">
      <c r="A999" s="753"/>
      <c r="B999" s="776" t="s">
        <v>1497</v>
      </c>
      <c r="C999" s="755"/>
      <c r="D999" s="755"/>
      <c r="E999" s="755"/>
      <c r="F999" s="755"/>
      <c r="G999" s="765">
        <f>-G996</f>
        <v>-3521287</v>
      </c>
      <c r="H999" s="781"/>
      <c r="I999" s="765">
        <v>-6602674</v>
      </c>
      <c r="J999" s="842" t="s">
        <v>599</v>
      </c>
      <c r="K999" s="760" t="s">
        <v>1587</v>
      </c>
      <c r="L999" s="761"/>
    </row>
    <row r="1000" spans="1:12" s="732" customFormat="1" ht="9" customHeight="1">
      <c r="A1000" s="753"/>
      <c r="B1000" s="776"/>
      <c r="C1000" s="755"/>
      <c r="D1000" s="755"/>
      <c r="E1000" s="755"/>
      <c r="F1000" s="755"/>
      <c r="G1000" s="765"/>
      <c r="H1000" s="781"/>
      <c r="I1000" s="765"/>
      <c r="J1000" s="761"/>
      <c r="K1000" s="760"/>
      <c r="L1000" s="761"/>
    </row>
    <row r="1001" spans="1:12" s="732" customFormat="1" ht="15.75" thickBot="1">
      <c r="A1001" s="753"/>
      <c r="B1001" s="1273" t="s">
        <v>540</v>
      </c>
      <c r="C1001" s="1273"/>
      <c r="D1001" s="755"/>
      <c r="E1001" s="755"/>
      <c r="F1001" s="755"/>
      <c r="G1001" s="771">
        <f>SUM(G996:G999)</f>
        <v>2917206</v>
      </c>
      <c r="H1001" s="781"/>
      <c r="I1001" s="771">
        <v>3521287</v>
      </c>
      <c r="J1001" s="761" t="s">
        <v>1587</v>
      </c>
      <c r="K1001" s="760" t="s">
        <v>1587</v>
      </c>
      <c r="L1001" s="761"/>
    </row>
    <row r="1002" spans="1:12" s="732" customFormat="1" ht="9" customHeight="1" thickTop="1">
      <c r="A1002" s="753"/>
      <c r="B1002" s="794"/>
      <c r="C1002" s="794"/>
      <c r="D1002" s="794"/>
      <c r="E1002" s="794"/>
      <c r="F1002" s="794"/>
      <c r="G1002" s="794"/>
      <c r="H1002" s="794"/>
      <c r="I1002" s="1175"/>
      <c r="K1002" s="760"/>
      <c r="L1002" s="761"/>
    </row>
    <row r="1003" spans="1:12" s="821" customFormat="1" ht="15">
      <c r="A1003" s="803" t="s">
        <v>1587</v>
      </c>
      <c r="B1003" s="795" t="s">
        <v>382</v>
      </c>
      <c r="C1003" s="755"/>
      <c r="D1003" s="755"/>
      <c r="E1003" s="755"/>
      <c r="F1003" s="755"/>
      <c r="G1003" s="796"/>
      <c r="H1003" s="781"/>
      <c r="I1003" s="754"/>
      <c r="K1003" s="822"/>
      <c r="L1003" s="823"/>
    </row>
    <row r="1004" spans="1:12" s="821" customFormat="1" ht="9" customHeight="1">
      <c r="A1004" s="803"/>
      <c r="B1004" s="795"/>
      <c r="C1004" s="755"/>
      <c r="D1004" s="755"/>
      <c r="E1004" s="755"/>
      <c r="F1004" s="755"/>
      <c r="G1004" s="796"/>
      <c r="H1004" s="781"/>
      <c r="I1004" s="754"/>
      <c r="K1004" s="822"/>
      <c r="L1004" s="823"/>
    </row>
    <row r="1005" spans="1:12" s="732" customFormat="1" ht="15">
      <c r="A1005" s="753"/>
      <c r="B1005" s="1273" t="s">
        <v>961</v>
      </c>
      <c r="C1005" s="1273"/>
      <c r="D1005" s="755"/>
      <c r="E1005" s="755"/>
      <c r="F1005" s="755"/>
      <c r="G1005" s="777">
        <f>I1009</f>
        <v>349886</v>
      </c>
      <c r="H1005" s="781"/>
      <c r="I1005" s="777">
        <v>4009380</v>
      </c>
      <c r="J1005" s="732" t="s">
        <v>484</v>
      </c>
      <c r="K1005" s="760"/>
      <c r="L1005" s="761"/>
    </row>
    <row r="1006" spans="1:12" s="732" customFormat="1" ht="15">
      <c r="A1006" s="753"/>
      <c r="B1006" s="776" t="s">
        <v>1025</v>
      </c>
      <c r="C1006" s="755"/>
      <c r="D1006" s="755"/>
      <c r="E1006" s="755"/>
      <c r="F1006" s="755"/>
      <c r="G1006" s="756">
        <v>68759240</v>
      </c>
      <c r="H1006" s="781"/>
      <c r="I1006" s="756">
        <v>58919447</v>
      </c>
      <c r="K1006" s="760"/>
      <c r="L1006" s="761"/>
    </row>
    <row r="1007" spans="1:12" s="732" customFormat="1" ht="15">
      <c r="A1007" s="753"/>
      <c r="B1007" s="776" t="s">
        <v>1496</v>
      </c>
      <c r="C1007" s="755"/>
      <c r="D1007" s="755"/>
      <c r="E1007" s="755"/>
      <c r="F1007" s="755"/>
      <c r="G1007" s="756">
        <v>-69107820</v>
      </c>
      <c r="H1007" s="781"/>
      <c r="I1007" s="756">
        <v>-62578941</v>
      </c>
      <c r="K1007" s="760"/>
      <c r="L1007" s="761"/>
    </row>
    <row r="1008" spans="1:12" s="732" customFormat="1" ht="9" customHeight="1">
      <c r="A1008" s="753"/>
      <c r="B1008" s="776"/>
      <c r="C1008" s="755"/>
      <c r="D1008" s="755"/>
      <c r="E1008" s="755"/>
      <c r="F1008" s="755"/>
      <c r="G1008" s="756"/>
      <c r="H1008" s="781"/>
      <c r="I1008" s="756"/>
      <c r="K1008" s="760"/>
      <c r="L1008" s="761"/>
    </row>
    <row r="1009" spans="1:12" s="732" customFormat="1" ht="15.75" thickBot="1">
      <c r="A1009" s="753"/>
      <c r="B1009" s="1273" t="s">
        <v>540</v>
      </c>
      <c r="C1009" s="1273"/>
      <c r="D1009" s="755"/>
      <c r="E1009" s="755"/>
      <c r="F1009" s="755"/>
      <c r="G1009" s="771">
        <f>SUM(G1005:G1007)</f>
        <v>1306</v>
      </c>
      <c r="H1009" s="781"/>
      <c r="I1009" s="771">
        <f>SUM(I1005:I1007)</f>
        <v>349886</v>
      </c>
      <c r="K1009" s="760"/>
      <c r="L1009" s="761"/>
    </row>
    <row r="1010" spans="1:12" s="821" customFormat="1" ht="9" customHeight="1" thickTop="1">
      <c r="A1010" s="803"/>
      <c r="B1010" s="794"/>
      <c r="C1010" s="794"/>
      <c r="D1010" s="794"/>
      <c r="E1010" s="794"/>
      <c r="F1010" s="794"/>
      <c r="G1010" s="794"/>
      <c r="H1010" s="794"/>
      <c r="I1010" s="1175"/>
      <c r="K1010" s="822"/>
      <c r="L1010" s="823"/>
    </row>
    <row r="1011" spans="1:12" s="732" customFormat="1" ht="15">
      <c r="A1011" s="753"/>
      <c r="B1011" s="795" t="s">
        <v>383</v>
      </c>
      <c r="C1011" s="755"/>
      <c r="D1011" s="755"/>
      <c r="E1011" s="755"/>
      <c r="F1011" s="755"/>
      <c r="G1011" s="796"/>
      <c r="H1011" s="781"/>
      <c r="I1011" s="754"/>
      <c r="K1011" s="760"/>
      <c r="L1011" s="761"/>
    </row>
    <row r="1012" spans="1:12" s="732" customFormat="1" ht="9" customHeight="1">
      <c r="A1012" s="753"/>
      <c r="B1012" s="795"/>
      <c r="C1012" s="795"/>
      <c r="D1012" s="795"/>
      <c r="E1012" s="748"/>
      <c r="F1012" s="869"/>
      <c r="K1012" s="760"/>
      <c r="L1012" s="761"/>
    </row>
    <row r="1013" spans="1:12" s="732" customFormat="1" ht="15">
      <c r="A1013" s="753"/>
      <c r="B1013" s="1273" t="s">
        <v>1238</v>
      </c>
      <c r="C1013" s="1273"/>
      <c r="D1013" s="1273"/>
      <c r="E1013" s="1273"/>
      <c r="F1013" s="869"/>
      <c r="G1013" s="883"/>
      <c r="H1013" s="884"/>
      <c r="I1013" s="1178"/>
      <c r="K1013" s="760"/>
      <c r="L1013" s="761"/>
    </row>
    <row r="1014" spans="1:12" s="732" customFormat="1" ht="15">
      <c r="A1014" s="753"/>
      <c r="B1014" s="795"/>
      <c r="C1014" s="795"/>
      <c r="D1014" s="795"/>
      <c r="E1014" s="748"/>
      <c r="F1014" s="869"/>
      <c r="G1014" s="834" t="s">
        <v>1178</v>
      </c>
      <c r="H1014" s="826"/>
      <c r="I1014" s="753" t="s">
        <v>1239</v>
      </c>
      <c r="K1014" s="760"/>
      <c r="L1014" s="761"/>
    </row>
    <row r="1015" spans="1:12" s="732" customFormat="1" ht="15">
      <c r="A1015" s="753"/>
      <c r="B1015" s="754"/>
      <c r="C1015" s="795"/>
      <c r="D1015" s="795"/>
      <c r="E1015" s="748"/>
      <c r="F1015" s="869"/>
      <c r="G1015" s="834"/>
      <c r="H1015" s="826"/>
      <c r="I1015" s="753" t="s">
        <v>1512</v>
      </c>
      <c r="K1015" s="760"/>
      <c r="L1015" s="761"/>
    </row>
    <row r="1016" spans="1:12" s="732" customFormat="1" ht="15">
      <c r="A1016" s="753"/>
      <c r="F1016" s="869"/>
      <c r="G1016" s="834"/>
      <c r="H1016" s="826"/>
      <c r="I1016" s="753" t="s">
        <v>1514</v>
      </c>
      <c r="J1016" s="732" t="s">
        <v>350</v>
      </c>
      <c r="K1016" s="760"/>
      <c r="L1016" s="761"/>
    </row>
    <row r="1017" spans="1:12" s="732" customFormat="1" ht="9" customHeight="1">
      <c r="A1017" s="753"/>
      <c r="B1017" s="776"/>
      <c r="C1017" s="795"/>
      <c r="D1017" s="795"/>
      <c r="E1017" s="748"/>
      <c r="F1017" s="869"/>
      <c r="G1017" s="777"/>
      <c r="H1017" s="837"/>
      <c r="I1017" s="828"/>
      <c r="K1017" s="760"/>
      <c r="L1017" s="761"/>
    </row>
    <row r="1018" spans="1:12" s="732" customFormat="1" ht="15">
      <c r="A1018" s="753"/>
      <c r="B1018" s="795" t="s">
        <v>578</v>
      </c>
      <c r="C1018" s="795"/>
      <c r="D1018" s="795"/>
      <c r="E1018" s="748"/>
      <c r="F1018" s="869"/>
      <c r="G1018" s="834" t="s">
        <v>1186</v>
      </c>
      <c r="H1018" s="826"/>
      <c r="I1018" s="828" t="s">
        <v>1186</v>
      </c>
      <c r="K1018" s="760"/>
      <c r="L1018" s="761"/>
    </row>
    <row r="1019" spans="1:12" s="732" customFormat="1" ht="9" customHeight="1">
      <c r="A1019" s="753"/>
      <c r="B1019" s="795"/>
      <c r="C1019" s="795"/>
      <c r="D1019" s="795"/>
      <c r="E1019" s="748"/>
      <c r="F1019" s="869"/>
      <c r="G1019" s="834"/>
      <c r="H1019" s="826"/>
      <c r="I1019" s="828"/>
      <c r="K1019" s="760"/>
      <c r="L1019" s="761"/>
    </row>
    <row r="1020" spans="1:12" s="732" customFormat="1" ht="15">
      <c r="A1020" s="753"/>
      <c r="B1020" s="776" t="s">
        <v>601</v>
      </c>
      <c r="C1020" s="795"/>
      <c r="D1020" s="795"/>
      <c r="E1020" s="748"/>
      <c r="F1020" s="869"/>
      <c r="G1020" s="765">
        <v>1129</v>
      </c>
      <c r="H1020" s="757"/>
      <c r="I1020" s="757">
        <v>570</v>
      </c>
      <c r="K1020" s="760"/>
      <c r="L1020" s="761"/>
    </row>
    <row r="1021" spans="1:12" s="732" customFormat="1" ht="15">
      <c r="A1021" s="753"/>
      <c r="B1021" s="776" t="s">
        <v>609</v>
      </c>
      <c r="C1021" s="795"/>
      <c r="D1021" s="795"/>
      <c r="E1021" s="748"/>
      <c r="F1021" s="869"/>
      <c r="G1021" s="765">
        <v>49742</v>
      </c>
      <c r="H1021" s="757"/>
      <c r="I1021" s="757">
        <v>3917</v>
      </c>
      <c r="K1021" s="760"/>
      <c r="L1021" s="761"/>
    </row>
    <row r="1022" spans="1:12" s="732" customFormat="1" ht="15">
      <c r="A1022" s="753"/>
      <c r="B1022" s="776" t="s">
        <v>249</v>
      </c>
      <c r="C1022" s="795"/>
      <c r="D1022" s="795"/>
      <c r="E1022" s="748"/>
      <c r="F1022" s="869"/>
      <c r="G1022" s="765">
        <v>1797</v>
      </c>
      <c r="H1022" s="757"/>
      <c r="I1022" s="757">
        <v>1679</v>
      </c>
      <c r="K1022" s="760"/>
      <c r="L1022" s="761"/>
    </row>
    <row r="1023" spans="1:12" s="732" customFormat="1" ht="15">
      <c r="A1023" s="753"/>
      <c r="B1023" s="776" t="s">
        <v>608</v>
      </c>
      <c r="C1023" s="795"/>
      <c r="D1023" s="795"/>
      <c r="E1023" s="748"/>
      <c r="F1023" s="869"/>
      <c r="G1023" s="765">
        <v>2065</v>
      </c>
      <c r="H1023" s="757"/>
      <c r="I1023" s="757">
        <v>1735</v>
      </c>
      <c r="K1023" s="760"/>
      <c r="L1023" s="761"/>
    </row>
    <row r="1024" spans="1:12" s="732" customFormat="1" ht="15">
      <c r="A1024" s="753"/>
      <c r="B1024" s="776" t="s">
        <v>602</v>
      </c>
      <c r="C1024" s="795"/>
      <c r="D1024" s="795"/>
      <c r="E1024" s="748"/>
      <c r="F1024" s="869"/>
      <c r="G1024" s="765">
        <v>2731</v>
      </c>
      <c r="H1024" s="757"/>
      <c r="I1024" s="757">
        <v>246</v>
      </c>
      <c r="K1024" s="760"/>
      <c r="L1024" s="761"/>
    </row>
    <row r="1025" spans="1:12" s="732" customFormat="1" ht="9" customHeight="1">
      <c r="A1025" s="753"/>
      <c r="B1025" s="776"/>
      <c r="C1025" s="795"/>
      <c r="D1025" s="795"/>
      <c r="E1025" s="748"/>
      <c r="F1025" s="869"/>
      <c r="G1025" s="765"/>
      <c r="H1025" s="757"/>
      <c r="I1025" s="757"/>
      <c r="K1025" s="760"/>
      <c r="L1025" s="761"/>
    </row>
    <row r="1026" spans="1:12" s="732" customFormat="1" ht="15.75" thickBot="1">
      <c r="A1026" s="753"/>
      <c r="B1026" s="776"/>
      <c r="C1026" s="795"/>
      <c r="D1026" s="795"/>
      <c r="E1026" s="748"/>
      <c r="F1026" s="869"/>
      <c r="G1026" s="771">
        <f>SUM(G1020:G1024)</f>
        <v>57464</v>
      </c>
      <c r="H1026" s="781"/>
      <c r="I1026" s="778">
        <f>SUM(I1020:I1024)</f>
        <v>8147</v>
      </c>
      <c r="K1026" s="760"/>
      <c r="L1026" s="761"/>
    </row>
    <row r="1027" spans="1:12" s="732" customFormat="1" ht="9" customHeight="1" thickTop="1">
      <c r="A1027" s="753"/>
      <c r="B1027" s="795"/>
      <c r="C1027" s="795"/>
      <c r="D1027" s="795"/>
      <c r="E1027" s="748"/>
      <c r="F1027" s="755"/>
      <c r="G1027" s="756"/>
      <c r="I1027" s="754"/>
      <c r="K1027" s="760"/>
      <c r="L1027" s="761"/>
    </row>
    <row r="1028" spans="1:12" s="732" customFormat="1" ht="15">
      <c r="A1028" s="753"/>
      <c r="B1028" s="795"/>
      <c r="C1028" s="795"/>
      <c r="D1028" s="795"/>
      <c r="E1028" s="748"/>
      <c r="F1028" s="755"/>
      <c r="G1028" s="834" t="s">
        <v>1178</v>
      </c>
      <c r="H1028" s="826"/>
      <c r="I1028" s="753" t="s">
        <v>1239</v>
      </c>
      <c r="K1028" s="760"/>
      <c r="L1028" s="761"/>
    </row>
    <row r="1029" spans="1:12" s="732" customFormat="1" ht="15">
      <c r="A1029" s="753"/>
      <c r="B1029" s="795"/>
      <c r="C1029" s="795"/>
      <c r="D1029" s="795"/>
      <c r="E1029" s="748"/>
      <c r="F1029" s="755"/>
      <c r="G1029" s="834"/>
      <c r="H1029" s="826"/>
      <c r="I1029" s="753" t="s">
        <v>1512</v>
      </c>
      <c r="K1029" s="760"/>
      <c r="L1029" s="761"/>
    </row>
    <row r="1030" spans="1:12" s="732" customFormat="1" ht="15">
      <c r="A1030" s="753"/>
      <c r="B1030" s="795"/>
      <c r="C1030" s="795"/>
      <c r="D1030" s="795"/>
      <c r="E1030" s="748"/>
      <c r="F1030" s="755"/>
      <c r="G1030" s="834"/>
      <c r="H1030" s="826"/>
      <c r="I1030" s="753" t="s">
        <v>1514</v>
      </c>
      <c r="K1030" s="760"/>
      <c r="L1030" s="761"/>
    </row>
    <row r="1031" spans="1:12" s="732" customFormat="1" ht="9" customHeight="1">
      <c r="A1031" s="753"/>
      <c r="B1031" s="795"/>
      <c r="C1031" s="795"/>
      <c r="D1031" s="795"/>
      <c r="E1031" s="748"/>
      <c r="F1031" s="755"/>
      <c r="G1031" s="883"/>
      <c r="H1031" s="884"/>
      <c r="I1031" s="1178"/>
      <c r="K1031" s="760"/>
      <c r="L1031" s="761"/>
    </row>
    <row r="1032" spans="1:12" s="732" customFormat="1" ht="15">
      <c r="A1032" s="753"/>
      <c r="B1032" s="795" t="s">
        <v>456</v>
      </c>
      <c r="C1032" s="795"/>
      <c r="D1032" s="795"/>
      <c r="E1032" s="748"/>
      <c r="F1032" s="755"/>
      <c r="G1032" s="834" t="s">
        <v>1186</v>
      </c>
      <c r="H1032" s="826"/>
      <c r="I1032" s="828" t="s">
        <v>1186</v>
      </c>
      <c r="K1032" s="760"/>
      <c r="L1032" s="761"/>
    </row>
    <row r="1033" spans="1:12" s="732" customFormat="1" ht="9" customHeight="1">
      <c r="A1033" s="753"/>
      <c r="B1033" s="795"/>
      <c r="C1033" s="795"/>
      <c r="D1033" s="795"/>
      <c r="E1033" s="748"/>
      <c r="F1033" s="755"/>
      <c r="G1033" s="834"/>
      <c r="H1033" s="826"/>
      <c r="I1033" s="828"/>
      <c r="K1033" s="760"/>
      <c r="L1033" s="761"/>
    </row>
    <row r="1034" spans="1:12" s="732" customFormat="1" ht="15">
      <c r="A1034" s="753"/>
      <c r="B1034" s="776" t="s">
        <v>247</v>
      </c>
      <c r="C1034" s="795"/>
      <c r="D1034" s="795"/>
      <c r="E1034" s="748"/>
      <c r="F1034" s="755"/>
      <c r="G1034" s="756">
        <v>12674</v>
      </c>
      <c r="H1034" s="757"/>
      <c r="I1034" s="754">
        <v>512</v>
      </c>
      <c r="K1034" s="760"/>
      <c r="L1034" s="761"/>
    </row>
    <row r="1035" spans="1:12" s="732" customFormat="1" ht="15">
      <c r="A1035" s="753"/>
      <c r="B1035" s="776" t="s">
        <v>248</v>
      </c>
      <c r="C1035" s="795"/>
      <c r="D1035" s="795"/>
      <c r="E1035" s="748"/>
      <c r="F1035" s="755"/>
      <c r="G1035" s="756">
        <v>7760</v>
      </c>
      <c r="H1035" s="757"/>
      <c r="I1035" s="754">
        <v>618</v>
      </c>
      <c r="K1035" s="760"/>
      <c r="L1035" s="761"/>
    </row>
    <row r="1036" spans="1:12" s="732" customFormat="1" ht="15">
      <c r="A1036" s="753"/>
      <c r="B1036" s="776" t="s">
        <v>250</v>
      </c>
      <c r="C1036" s="795"/>
      <c r="D1036" s="795"/>
      <c r="E1036" s="748"/>
      <c r="F1036" s="755"/>
      <c r="G1036" s="756">
        <v>1959</v>
      </c>
      <c r="H1036" s="757"/>
      <c r="I1036" s="754">
        <v>1502</v>
      </c>
      <c r="K1036" s="760"/>
      <c r="L1036" s="761"/>
    </row>
    <row r="1037" spans="1:12" s="732" customFormat="1" ht="15">
      <c r="A1037" s="753"/>
      <c r="B1037" s="776" t="s">
        <v>249</v>
      </c>
      <c r="C1037" s="795"/>
      <c r="D1037" s="795"/>
      <c r="E1037" s="748"/>
      <c r="F1037" s="755"/>
      <c r="G1037" s="756">
        <v>446</v>
      </c>
      <c r="H1037" s="757"/>
      <c r="I1037" s="754">
        <v>173</v>
      </c>
      <c r="K1037" s="760"/>
      <c r="L1037" s="761"/>
    </row>
    <row r="1038" spans="1:12" s="732" customFormat="1" ht="9" customHeight="1">
      <c r="A1038" s="753"/>
      <c r="B1038" s="776"/>
      <c r="C1038" s="776"/>
      <c r="D1038" s="776"/>
      <c r="E1038" s="748"/>
      <c r="F1038" s="836"/>
      <c r="G1038" s="756"/>
      <c r="H1038" s="770"/>
      <c r="I1038" s="836"/>
      <c r="K1038" s="760"/>
      <c r="L1038" s="761"/>
    </row>
    <row r="1039" spans="1:12" s="732" customFormat="1" ht="15.75" thickBot="1">
      <c r="A1039" s="753"/>
      <c r="B1039" s="795"/>
      <c r="C1039" s="795"/>
      <c r="D1039" s="795"/>
      <c r="E1039" s="748"/>
      <c r="F1039" s="772"/>
      <c r="G1039" s="771">
        <f>SUM(G1034:G1037)</f>
        <v>22839</v>
      </c>
      <c r="H1039" s="772"/>
      <c r="I1039" s="773">
        <f>SUM(I1034:I1037)</f>
        <v>2805</v>
      </c>
      <c r="K1039" s="760"/>
      <c r="L1039" s="761"/>
    </row>
    <row r="1040" spans="1:12" s="732" customFormat="1" ht="9" customHeight="1" thickTop="1">
      <c r="A1040" s="753"/>
      <c r="B1040" s="795"/>
      <c r="C1040" s="795"/>
      <c r="D1040" s="795"/>
      <c r="E1040" s="748"/>
      <c r="F1040" s="772"/>
      <c r="G1040" s="780"/>
      <c r="H1040" s="772"/>
      <c r="I1040" s="770"/>
      <c r="K1040" s="760"/>
      <c r="L1040" s="761"/>
    </row>
    <row r="1041" spans="1:12" s="732" customFormat="1" ht="15">
      <c r="A1041" s="753"/>
      <c r="B1041" s="795" t="s">
        <v>384</v>
      </c>
      <c r="K1041" s="760"/>
      <c r="L1041" s="761"/>
    </row>
    <row r="1042" spans="1:12" s="732" customFormat="1" ht="9" customHeight="1">
      <c r="A1042" s="753"/>
      <c r="B1042" s="795"/>
      <c r="K1042" s="760"/>
      <c r="L1042" s="761"/>
    </row>
    <row r="1043" spans="1:12" s="732" customFormat="1" ht="15">
      <c r="A1043" s="824" t="s">
        <v>1587</v>
      </c>
      <c r="B1043" s="1273" t="s">
        <v>1026</v>
      </c>
      <c r="C1043" s="1273"/>
      <c r="D1043" s="1273"/>
      <c r="E1043" s="1273"/>
      <c r="F1043" s="1273"/>
      <c r="G1043" s="1273"/>
      <c r="H1043" s="1273"/>
      <c r="I1043" s="1273"/>
      <c r="K1043" s="760"/>
      <c r="L1043" s="761"/>
    </row>
    <row r="1044" spans="1:12" s="732" customFormat="1" ht="9" customHeight="1">
      <c r="A1044" s="824"/>
      <c r="B1044" s="776"/>
      <c r="C1044" s="776"/>
      <c r="D1044" s="776"/>
      <c r="E1044" s="776"/>
      <c r="F1044" s="776"/>
      <c r="G1044" s="776"/>
      <c r="H1044" s="776"/>
      <c r="I1044" s="776"/>
      <c r="K1044" s="760"/>
      <c r="L1044" s="761"/>
    </row>
    <row r="1045" spans="1:12" s="732" customFormat="1" ht="15">
      <c r="A1045" s="731"/>
      <c r="B1045" s="754" t="s">
        <v>1331</v>
      </c>
      <c r="C1045" s="754"/>
      <c r="D1045" s="754"/>
      <c r="E1045" s="755"/>
      <c r="F1045" s="754"/>
      <c r="G1045" s="756"/>
      <c r="H1045" s="757"/>
      <c r="I1045" s="754"/>
      <c r="K1045" s="760"/>
      <c r="L1045" s="761"/>
    </row>
    <row r="1046" spans="1:12" s="732" customFormat="1" ht="15">
      <c r="A1046" s="753"/>
      <c r="B1046" s="754" t="s">
        <v>1332</v>
      </c>
      <c r="C1046" s="754"/>
      <c r="D1046" s="754"/>
      <c r="E1046" s="755"/>
      <c r="F1046" s="754"/>
      <c r="G1046" s="756"/>
      <c r="H1046" s="757"/>
      <c r="I1046" s="754"/>
      <c r="K1046" s="760"/>
      <c r="L1046" s="761"/>
    </row>
    <row r="1047" spans="1:12" s="732" customFormat="1" ht="15">
      <c r="A1047" s="753"/>
      <c r="B1047" s="754" t="s">
        <v>411</v>
      </c>
      <c r="C1047" s="754"/>
      <c r="D1047" s="754"/>
      <c r="E1047" s="755"/>
      <c r="F1047" s="754"/>
      <c r="G1047" s="756"/>
      <c r="H1047" s="757"/>
      <c r="I1047" s="754"/>
      <c r="K1047" s="760"/>
      <c r="L1047" s="761"/>
    </row>
    <row r="1048" spans="1:12" s="732" customFormat="1" ht="15">
      <c r="A1048" s="753"/>
      <c r="B1048" s="754" t="s">
        <v>1062</v>
      </c>
      <c r="C1048" s="754"/>
      <c r="D1048" s="754"/>
      <c r="E1048" s="755"/>
      <c r="F1048" s="754"/>
      <c r="G1048" s="756"/>
      <c r="H1048" s="757"/>
      <c r="I1048" s="754"/>
      <c r="K1048" s="760"/>
      <c r="L1048" s="761"/>
    </row>
    <row r="1049" spans="1:12" s="821" customFormat="1" ht="9" customHeight="1">
      <c r="A1049" s="1271"/>
      <c r="B1049" s="1271"/>
      <c r="C1049" s="1271"/>
      <c r="D1049" s="1271"/>
      <c r="E1049" s="1271"/>
      <c r="F1049" s="1271"/>
      <c r="G1049" s="1271"/>
      <c r="H1049" s="1271"/>
      <c r="I1049" s="1271"/>
      <c r="K1049" s="822"/>
      <c r="L1049" s="823"/>
    </row>
    <row r="1050" spans="1:12" s="732" customFormat="1" ht="30">
      <c r="A1050" s="753"/>
      <c r="B1050" s="885" t="s">
        <v>580</v>
      </c>
      <c r="C1050" s="755"/>
      <c r="D1050" s="755"/>
      <c r="E1050" s="886" t="s">
        <v>837</v>
      </c>
      <c r="F1050" s="826"/>
      <c r="G1050" s="886" t="s">
        <v>931</v>
      </c>
      <c r="H1050" s="826"/>
      <c r="I1050" s="1201" t="s">
        <v>1240</v>
      </c>
      <c r="K1050" s="760"/>
      <c r="L1050" s="761"/>
    </row>
    <row r="1051" spans="1:12" s="732" customFormat="1" ht="9" customHeight="1">
      <c r="A1051" s="753"/>
      <c r="B1051" s="885"/>
      <c r="C1051" s="755"/>
      <c r="D1051" s="755"/>
      <c r="E1051" s="747"/>
      <c r="F1051" s="826"/>
      <c r="G1051" s="886"/>
      <c r="H1051" s="826"/>
      <c r="I1051" s="1179"/>
      <c r="K1051" s="760"/>
      <c r="L1051" s="761"/>
    </row>
    <row r="1052" spans="1:12" s="732" customFormat="1" ht="15">
      <c r="A1052" s="753"/>
      <c r="B1052" s="754" t="s">
        <v>1061</v>
      </c>
      <c r="C1052" s="754"/>
      <c r="D1052" s="754"/>
      <c r="E1052" s="757">
        <v>265515</v>
      </c>
      <c r="F1052" s="757"/>
      <c r="G1052" s="765">
        <v>350158</v>
      </c>
      <c r="H1052" s="757"/>
      <c r="I1052" s="757">
        <v>87433</v>
      </c>
      <c r="J1052" s="732" t="s">
        <v>603</v>
      </c>
      <c r="K1052" s="760"/>
      <c r="L1052" s="761"/>
    </row>
    <row r="1053" spans="1:12" s="732" customFormat="1" ht="15">
      <c r="A1053" s="753"/>
      <c r="B1053" s="754" t="s">
        <v>1333</v>
      </c>
      <c r="C1053" s="754"/>
      <c r="D1053" s="754"/>
      <c r="E1053" s="757">
        <v>59290</v>
      </c>
      <c r="F1053" s="757"/>
      <c r="G1053" s="765">
        <v>46132</v>
      </c>
      <c r="H1053" s="757"/>
      <c r="I1053" s="757">
        <v>8785</v>
      </c>
      <c r="K1053" s="760"/>
      <c r="L1053" s="761"/>
    </row>
    <row r="1054" spans="1:12" s="732" customFormat="1" ht="9" customHeight="1">
      <c r="A1054" s="753"/>
      <c r="B1054" s="754"/>
      <c r="C1054" s="754"/>
      <c r="D1054" s="754"/>
      <c r="E1054" s="757"/>
      <c r="F1054" s="757"/>
      <c r="G1054" s="765"/>
      <c r="H1054" s="757"/>
      <c r="I1054" s="757"/>
      <c r="K1054" s="760"/>
      <c r="L1054" s="761"/>
    </row>
    <row r="1055" spans="1:12" s="732" customFormat="1" ht="15.75" thickBot="1">
      <c r="A1055" s="753"/>
      <c r="B1055" s="754"/>
      <c r="C1055" s="754"/>
      <c r="D1055" s="754"/>
      <c r="E1055" s="778">
        <f>SUM(E1052:E1053)</f>
        <v>324805</v>
      </c>
      <c r="F1055" s="757"/>
      <c r="G1055" s="778">
        <f>SUM(G1052:G1053)</f>
        <v>396290</v>
      </c>
      <c r="H1055" s="757"/>
      <c r="I1055" s="778">
        <f>SUM(I1052:I1053)</f>
        <v>96218</v>
      </c>
      <c r="K1055" s="760"/>
      <c r="L1055" s="761"/>
    </row>
    <row r="1056" spans="1:12" s="732" customFormat="1" ht="9" customHeight="1" thickTop="1">
      <c r="A1056" s="753"/>
      <c r="B1056" s="754"/>
      <c r="C1056" s="754"/>
      <c r="D1056" s="754"/>
      <c r="E1056" s="781"/>
      <c r="F1056" s="757"/>
      <c r="G1056" s="765"/>
      <c r="H1056" s="757"/>
      <c r="I1056" s="757"/>
      <c r="K1056" s="760"/>
      <c r="L1056" s="761"/>
    </row>
    <row r="1057" spans="1:12" s="732" customFormat="1" ht="30">
      <c r="A1057" s="753"/>
      <c r="B1057" s="885" t="s">
        <v>440</v>
      </c>
      <c r="C1057" s="755"/>
      <c r="D1057" s="755"/>
      <c r="E1057" s="886" t="s">
        <v>837</v>
      </c>
      <c r="F1057" s="747"/>
      <c r="G1057" s="886" t="s">
        <v>931</v>
      </c>
      <c r="H1057" s="826"/>
      <c r="I1057" s="1201" t="s">
        <v>1240</v>
      </c>
      <c r="K1057" s="760"/>
      <c r="L1057" s="761"/>
    </row>
    <row r="1058" spans="1:12" s="732" customFormat="1" ht="9" customHeight="1">
      <c r="A1058" s="753"/>
      <c r="B1058" s="885"/>
      <c r="C1058" s="755"/>
      <c r="D1058" s="755"/>
      <c r="E1058" s="747"/>
      <c r="F1058" s="747"/>
      <c r="G1058" s="887"/>
      <c r="H1058" s="747"/>
      <c r="I1058" s="1180"/>
      <c r="K1058" s="760"/>
      <c r="L1058" s="761"/>
    </row>
    <row r="1059" spans="1:12" s="732" customFormat="1" ht="15">
      <c r="A1059" s="753"/>
      <c r="B1059" s="754" t="s">
        <v>1061</v>
      </c>
      <c r="C1059" s="754"/>
      <c r="D1059" s="754"/>
      <c r="E1059" s="757">
        <v>108729</v>
      </c>
      <c r="F1059" s="757"/>
      <c r="G1059" s="765">
        <v>285432</v>
      </c>
      <c r="H1059" s="757"/>
      <c r="I1059" s="757">
        <v>52782</v>
      </c>
      <c r="K1059" s="760"/>
      <c r="L1059" s="761"/>
    </row>
    <row r="1060" spans="1:12" s="732" customFormat="1" ht="15">
      <c r="A1060" s="753"/>
      <c r="B1060" s="754" t="s">
        <v>1333</v>
      </c>
      <c r="C1060" s="754"/>
      <c r="D1060" s="754"/>
      <c r="E1060" s="757">
        <v>18707</v>
      </c>
      <c r="F1060" s="757"/>
      <c r="G1060" s="765">
        <v>14225</v>
      </c>
      <c r="H1060" s="757"/>
      <c r="I1060" s="757">
        <v>6477</v>
      </c>
      <c r="K1060" s="760"/>
      <c r="L1060" s="761"/>
    </row>
    <row r="1061" spans="1:12" s="732" customFormat="1" ht="9" customHeight="1">
      <c r="A1061" s="753"/>
      <c r="B1061" s="754"/>
      <c r="C1061" s="754"/>
      <c r="D1061" s="754"/>
      <c r="E1061" s="757"/>
      <c r="F1061" s="757"/>
      <c r="G1061" s="765"/>
      <c r="H1061" s="757"/>
      <c r="I1061" s="757"/>
      <c r="K1061" s="760"/>
      <c r="L1061" s="761"/>
    </row>
    <row r="1062" spans="1:12" s="732" customFormat="1" ht="15.75" thickBot="1">
      <c r="A1062" s="753"/>
      <c r="B1062" s="754"/>
      <c r="C1062" s="754"/>
      <c r="D1062" s="754"/>
      <c r="E1062" s="778">
        <f>SUM(E1059:E1060)</f>
        <v>127436</v>
      </c>
      <c r="F1062" s="757"/>
      <c r="G1062" s="778">
        <f>SUM(G1059:G1060)</f>
        <v>299657</v>
      </c>
      <c r="H1062" s="757"/>
      <c r="I1062" s="778">
        <f>SUM(I1059:I1060)</f>
        <v>59259</v>
      </c>
      <c r="K1062" s="760"/>
      <c r="L1062" s="761"/>
    </row>
    <row r="1063" spans="1:12" s="732" customFormat="1" ht="9" customHeight="1" thickTop="1">
      <c r="A1063" s="753"/>
      <c r="B1063" s="754"/>
      <c r="C1063" s="754"/>
      <c r="D1063" s="754"/>
      <c r="E1063" s="781"/>
      <c r="F1063" s="757"/>
      <c r="G1063" s="781"/>
      <c r="H1063" s="757"/>
      <c r="I1063" s="757"/>
      <c r="K1063" s="760"/>
      <c r="L1063" s="761"/>
    </row>
    <row r="1064" spans="1:12" s="732" customFormat="1" ht="15">
      <c r="A1064" s="753"/>
      <c r="B1064" s="754" t="s">
        <v>1241</v>
      </c>
      <c r="C1064" s="754"/>
      <c r="D1064" s="754"/>
      <c r="E1064" s="755"/>
      <c r="F1064" s="754"/>
      <c r="G1064" s="756"/>
      <c r="H1064" s="757"/>
      <c r="I1064" s="754"/>
      <c r="K1064" s="760"/>
      <c r="L1064" s="761"/>
    </row>
    <row r="1065" spans="1:12" s="732" customFormat="1" ht="15">
      <c r="A1065" s="753"/>
      <c r="B1065" s="754"/>
      <c r="C1065" s="754"/>
      <c r="D1065" s="754"/>
      <c r="E1065" s="755"/>
      <c r="F1065" s="754"/>
      <c r="G1065" s="756"/>
      <c r="H1065" s="757"/>
      <c r="I1065" s="754"/>
      <c r="K1065" s="760"/>
      <c r="L1065" s="761"/>
    </row>
    <row r="1066" spans="1:12" s="732" customFormat="1" ht="15">
      <c r="A1066" s="753"/>
      <c r="B1066" s="754"/>
      <c r="C1066" s="754"/>
      <c r="D1066" s="754"/>
      <c r="E1066" s="755"/>
      <c r="F1066" s="754"/>
      <c r="G1066" s="756"/>
      <c r="H1066" s="757"/>
      <c r="I1066" s="754"/>
      <c r="K1066" s="760"/>
      <c r="L1066" s="761"/>
    </row>
    <row r="1067" spans="1:12" s="732" customFormat="1" ht="15">
      <c r="A1067" s="753"/>
      <c r="B1067" s="754"/>
      <c r="C1067" s="754"/>
      <c r="D1067" s="754"/>
      <c r="E1067" s="755"/>
      <c r="F1067" s="754"/>
      <c r="G1067" s="756"/>
      <c r="H1067" s="757"/>
      <c r="I1067" s="754"/>
      <c r="K1067" s="760"/>
      <c r="L1067" s="761"/>
    </row>
    <row r="1068" spans="1:12" s="732" customFormat="1" ht="15">
      <c r="A1068" s="753"/>
      <c r="B1068" s="754"/>
      <c r="C1068" s="754"/>
      <c r="D1068" s="754"/>
      <c r="E1068" s="755"/>
      <c r="F1068" s="754"/>
      <c r="G1068" s="756"/>
      <c r="H1068" s="757"/>
      <c r="I1068" s="754"/>
      <c r="K1068" s="760"/>
      <c r="L1068" s="761"/>
    </row>
    <row r="1069" spans="1:9" ht="15">
      <c r="A1069" s="1271" t="s">
        <v>856</v>
      </c>
      <c r="B1069" s="1271"/>
      <c r="C1069" s="1271"/>
      <c r="D1069" s="1271"/>
      <c r="E1069" s="1271"/>
      <c r="F1069" s="1271"/>
      <c r="G1069" s="1271"/>
      <c r="H1069" s="1271"/>
      <c r="I1069" s="1271"/>
    </row>
    <row r="1070" spans="1:12" s="732" customFormat="1" ht="15">
      <c r="A1070" s="753">
        <f>A968+1</f>
        <v>28</v>
      </c>
      <c r="B1070" s="1278" t="s">
        <v>1542</v>
      </c>
      <c r="C1070" s="1278"/>
      <c r="D1070" s="1278"/>
      <c r="E1070" s="1278"/>
      <c r="F1070" s="795"/>
      <c r="G1070" s="796"/>
      <c r="H1070" s="781"/>
      <c r="I1070" s="754"/>
      <c r="K1070" s="760"/>
      <c r="L1070" s="761"/>
    </row>
    <row r="1071" spans="1:12" s="732" customFormat="1" ht="9" customHeight="1">
      <c r="A1071" s="753"/>
      <c r="B1071" s="795"/>
      <c r="C1071" s="795"/>
      <c r="D1071" s="795"/>
      <c r="E1071" s="795"/>
      <c r="F1071" s="795"/>
      <c r="G1071" s="796"/>
      <c r="H1071" s="781"/>
      <c r="I1071" s="754"/>
      <c r="K1071" s="760"/>
      <c r="L1071" s="761"/>
    </row>
    <row r="1072" spans="1:12" s="732" customFormat="1" ht="15">
      <c r="A1072" s="753"/>
      <c r="B1072" s="1273" t="s">
        <v>1543</v>
      </c>
      <c r="C1072" s="1273"/>
      <c r="D1072" s="1273"/>
      <c r="E1072" s="1273"/>
      <c r="F1072" s="776"/>
      <c r="G1072" s="756"/>
      <c r="H1072" s="757"/>
      <c r="I1072" s="754"/>
      <c r="K1072" s="760"/>
      <c r="L1072" s="761"/>
    </row>
    <row r="1073" spans="1:12" s="732" customFormat="1" ht="9" customHeight="1">
      <c r="A1073" s="753"/>
      <c r="B1073" s="776"/>
      <c r="C1073" s="776"/>
      <c r="D1073" s="776"/>
      <c r="E1073" s="776"/>
      <c r="F1073" s="776"/>
      <c r="G1073" s="765"/>
      <c r="H1073" s="757"/>
      <c r="I1073" s="757"/>
      <c r="K1073" s="760"/>
      <c r="L1073" s="761"/>
    </row>
    <row r="1074" spans="1:12" s="732" customFormat="1" ht="15">
      <c r="A1074" s="753"/>
      <c r="B1074" s="1278" t="s">
        <v>1334</v>
      </c>
      <c r="C1074" s="1278"/>
      <c r="D1074" s="1278"/>
      <c r="E1074" s="1278"/>
      <c r="F1074" s="776"/>
      <c r="G1074" s="780">
        <f>SUM(G1076:G1079)</f>
        <v>12630775</v>
      </c>
      <c r="H1074" s="781"/>
      <c r="I1074" s="780">
        <v>25061142</v>
      </c>
      <c r="J1074" s="732" t="s">
        <v>579</v>
      </c>
      <c r="K1074" s="760"/>
      <c r="L1074" s="761"/>
    </row>
    <row r="1075" spans="1:12" s="732" customFormat="1" ht="9" customHeight="1">
      <c r="A1075" s="753"/>
      <c r="B1075" s="795"/>
      <c r="C1075" s="795"/>
      <c r="D1075" s="795"/>
      <c r="E1075" s="795"/>
      <c r="F1075" s="776"/>
      <c r="G1075" s="765"/>
      <c r="H1075" s="757"/>
      <c r="I1075" s="765"/>
      <c r="K1075" s="760"/>
      <c r="L1075" s="761"/>
    </row>
    <row r="1076" spans="1:12" s="732" customFormat="1" ht="15">
      <c r="A1076" s="753"/>
      <c r="B1076" s="776" t="s">
        <v>1109</v>
      </c>
      <c r="C1076" s="776"/>
      <c r="D1076" s="776"/>
      <c r="E1076" s="776"/>
      <c r="F1076" s="888"/>
      <c r="G1076" s="766">
        <v>7570861</v>
      </c>
      <c r="H1076" s="757"/>
      <c r="I1076" s="767">
        <v>17384394</v>
      </c>
      <c r="K1076" s="760"/>
      <c r="L1076" s="761"/>
    </row>
    <row r="1077" spans="1:12" s="732" customFormat="1" ht="15">
      <c r="A1077" s="753"/>
      <c r="B1077" s="1273" t="s">
        <v>1545</v>
      </c>
      <c r="C1077" s="1273"/>
      <c r="D1077" s="1273"/>
      <c r="E1077" s="1273"/>
      <c r="F1077" s="888"/>
      <c r="G1077" s="807">
        <v>1894848</v>
      </c>
      <c r="H1077" s="757"/>
      <c r="I1077" s="808">
        <v>5081291</v>
      </c>
      <c r="K1077" s="760"/>
      <c r="L1077" s="761"/>
    </row>
    <row r="1078" spans="1:12" s="732" customFormat="1" ht="15">
      <c r="A1078" s="753"/>
      <c r="B1078" s="1273" t="s">
        <v>1546</v>
      </c>
      <c r="C1078" s="1273"/>
      <c r="D1078" s="1273"/>
      <c r="E1078" s="1273"/>
      <c r="F1078" s="888"/>
      <c r="G1078" s="807">
        <v>980365</v>
      </c>
      <c r="H1078" s="757"/>
      <c r="I1078" s="808">
        <v>580366</v>
      </c>
      <c r="K1078" s="760"/>
      <c r="L1078" s="761"/>
    </row>
    <row r="1079" spans="1:12" s="732" customFormat="1" ht="15">
      <c r="A1079" s="753"/>
      <c r="B1079" s="1273" t="s">
        <v>1133</v>
      </c>
      <c r="C1079" s="1273"/>
      <c r="D1079" s="1273"/>
      <c r="E1079" s="1273"/>
      <c r="F1079" s="888"/>
      <c r="G1079" s="768">
        <v>2184701</v>
      </c>
      <c r="H1079" s="757"/>
      <c r="I1079" s="769">
        <v>2015091</v>
      </c>
      <c r="K1079" s="760"/>
      <c r="L1079" s="761"/>
    </row>
    <row r="1080" spans="1:12" s="732" customFormat="1" ht="9" customHeight="1">
      <c r="A1080" s="753"/>
      <c r="B1080" s="776"/>
      <c r="C1080" s="776"/>
      <c r="D1080" s="776"/>
      <c r="E1080" s="776"/>
      <c r="F1080" s="888"/>
      <c r="G1080" s="765"/>
      <c r="H1080" s="757"/>
      <c r="I1080" s="757"/>
      <c r="K1080" s="760"/>
      <c r="L1080" s="761"/>
    </row>
    <row r="1081" spans="1:12" s="732" customFormat="1" ht="15.75" thickBot="1">
      <c r="A1081" s="753"/>
      <c r="B1081" s="1278" t="s">
        <v>1178</v>
      </c>
      <c r="C1081" s="1278"/>
      <c r="D1081" s="1278"/>
      <c r="E1081" s="1278"/>
      <c r="F1081" s="795"/>
      <c r="G1081" s="771">
        <f>G1074</f>
        <v>12630775</v>
      </c>
      <c r="H1081" s="757"/>
      <c r="I1081" s="771">
        <f>I1074</f>
        <v>25061142</v>
      </c>
      <c r="K1081" s="760"/>
      <c r="L1081" s="761"/>
    </row>
    <row r="1082" spans="1:12" s="732" customFormat="1" ht="9" customHeight="1" thickTop="1">
      <c r="A1082" s="753"/>
      <c r="B1082" s="795"/>
      <c r="C1082" s="795"/>
      <c r="D1082" s="795"/>
      <c r="E1082" s="795"/>
      <c r="F1082" s="795"/>
      <c r="G1082" s="780"/>
      <c r="H1082" s="757"/>
      <c r="I1082" s="757"/>
      <c r="K1082" s="760"/>
      <c r="L1082" s="761"/>
    </row>
    <row r="1083" spans="1:12" s="732" customFormat="1" ht="15">
      <c r="A1083" s="753"/>
      <c r="B1083" s="1278" t="s">
        <v>1548</v>
      </c>
      <c r="C1083" s="1278"/>
      <c r="D1083" s="1278"/>
      <c r="E1083" s="1278"/>
      <c r="F1083" s="776"/>
      <c r="G1083" s="765"/>
      <c r="H1083" s="757"/>
      <c r="I1083" s="757"/>
      <c r="K1083" s="760"/>
      <c r="L1083" s="761"/>
    </row>
    <row r="1084" spans="1:12" s="732" customFormat="1" ht="9" customHeight="1">
      <c r="A1084" s="753"/>
      <c r="B1084" s="776"/>
      <c r="C1084" s="776"/>
      <c r="D1084" s="776"/>
      <c r="E1084" s="776"/>
      <c r="F1084" s="776"/>
      <c r="G1084" s="765"/>
      <c r="H1084" s="757"/>
      <c r="I1084" s="757"/>
      <c r="K1084" s="760"/>
      <c r="L1084" s="761"/>
    </row>
    <row r="1085" spans="1:12" s="732" customFormat="1" ht="15">
      <c r="A1085" s="753"/>
      <c r="B1085" s="1273" t="s">
        <v>1335</v>
      </c>
      <c r="C1085" s="1273"/>
      <c r="D1085" s="1273"/>
      <c r="E1085" s="1273"/>
      <c r="F1085" s="776"/>
      <c r="G1085" s="811">
        <v>1714873</v>
      </c>
      <c r="H1085" s="757"/>
      <c r="I1085" s="811" t="s">
        <v>957</v>
      </c>
      <c r="K1085" s="760"/>
      <c r="L1085" s="761"/>
    </row>
    <row r="1086" spans="1:12" s="732" customFormat="1" ht="15">
      <c r="A1086" s="753"/>
      <c r="B1086" s="1273" t="s">
        <v>1336</v>
      </c>
      <c r="C1086" s="1273"/>
      <c r="D1086" s="1273"/>
      <c r="E1086" s="1273"/>
      <c r="F1086" s="776"/>
      <c r="G1086" s="765">
        <v>10915902</v>
      </c>
      <c r="H1086" s="757"/>
      <c r="I1086" s="764">
        <v>24984664</v>
      </c>
      <c r="K1086" s="760"/>
      <c r="L1086" s="761"/>
    </row>
    <row r="1087" spans="1:12" s="732" customFormat="1" ht="15">
      <c r="A1087" s="753"/>
      <c r="B1087" s="1273" t="s">
        <v>1337</v>
      </c>
      <c r="C1087" s="1273"/>
      <c r="D1087" s="1273"/>
      <c r="E1087" s="1273"/>
      <c r="F1087" s="776"/>
      <c r="G1087" s="809" t="s">
        <v>957</v>
      </c>
      <c r="H1087" s="757"/>
      <c r="I1087" s="764">
        <v>76478</v>
      </c>
      <c r="K1087" s="760"/>
      <c r="L1087" s="761"/>
    </row>
    <row r="1088" spans="1:12" s="732" customFormat="1" ht="9" customHeight="1">
      <c r="A1088" s="753"/>
      <c r="B1088" s="776"/>
      <c r="C1088" s="776"/>
      <c r="D1088" s="776"/>
      <c r="E1088" s="776"/>
      <c r="F1088" s="776"/>
      <c r="G1088" s="765"/>
      <c r="H1088" s="757"/>
      <c r="I1088" s="764"/>
      <c r="K1088" s="760"/>
      <c r="L1088" s="761"/>
    </row>
    <row r="1089" spans="1:12" s="732" customFormat="1" ht="15.75" thickBot="1">
      <c r="A1089" s="753"/>
      <c r="B1089" s="1273"/>
      <c r="C1089" s="1273"/>
      <c r="D1089" s="1273"/>
      <c r="E1089" s="1273"/>
      <c r="F1089" s="776"/>
      <c r="G1089" s="771">
        <f>SUM(G1085:G1087)</f>
        <v>12630775</v>
      </c>
      <c r="H1089" s="757"/>
      <c r="I1089" s="779">
        <v>25061142</v>
      </c>
      <c r="K1089" s="760"/>
      <c r="L1089" s="761"/>
    </row>
    <row r="1090" spans="1:12" s="732" customFormat="1" ht="9" customHeight="1" thickTop="1">
      <c r="A1090" s="753"/>
      <c r="B1090" s="776"/>
      <c r="C1090" s="776"/>
      <c r="D1090" s="776"/>
      <c r="E1090" s="776"/>
      <c r="F1090" s="776"/>
      <c r="G1090" s="780"/>
      <c r="H1090" s="757"/>
      <c r="I1090" s="764"/>
      <c r="K1090" s="760"/>
      <c r="L1090" s="761"/>
    </row>
    <row r="1091" spans="1:12" s="732" customFormat="1" ht="15">
      <c r="A1091" s="753">
        <f>A1070+1</f>
        <v>29</v>
      </c>
      <c r="B1091" s="795" t="s">
        <v>788</v>
      </c>
      <c r="C1091" s="776"/>
      <c r="D1091" s="776"/>
      <c r="E1091" s="795"/>
      <c r="F1091" s="776"/>
      <c r="G1091" s="756"/>
      <c r="H1091" s="757"/>
      <c r="I1091" s="754"/>
      <c r="K1091" s="760"/>
      <c r="L1091" s="761"/>
    </row>
    <row r="1092" spans="1:12" s="732" customFormat="1" ht="9" customHeight="1">
      <c r="A1092" s="753"/>
      <c r="B1092" s="795"/>
      <c r="C1092" s="776"/>
      <c r="D1092" s="776"/>
      <c r="E1092" s="795"/>
      <c r="F1092" s="776"/>
      <c r="G1092" s="756"/>
      <c r="H1092" s="757"/>
      <c r="I1092" s="754"/>
      <c r="K1092" s="760"/>
      <c r="L1092" s="761"/>
    </row>
    <row r="1093" spans="1:12" s="732" customFormat="1" ht="15">
      <c r="A1093" s="799"/>
      <c r="B1093" s="1277" t="s">
        <v>1342</v>
      </c>
      <c r="C1093" s="1276"/>
      <c r="D1093" s="1276"/>
      <c r="E1093" s="1276"/>
      <c r="F1093" s="1276"/>
      <c r="G1093" s="1276"/>
      <c r="H1093" s="743"/>
      <c r="I1093" s="743"/>
      <c r="J1093" s="754" t="s">
        <v>1587</v>
      </c>
      <c r="K1093" s="760"/>
      <c r="L1093" s="761"/>
    </row>
    <row r="1094" spans="1:12" s="732" customFormat="1" ht="9" customHeight="1">
      <c r="A1094" s="799"/>
      <c r="B1094" s="889"/>
      <c r="C1094" s="743"/>
      <c r="D1094" s="743"/>
      <c r="E1094" s="743"/>
      <c r="F1094" s="743"/>
      <c r="G1094" s="743"/>
      <c r="H1094" s="743"/>
      <c r="I1094" s="765"/>
      <c r="J1094" s="754"/>
      <c r="K1094" s="760"/>
      <c r="L1094" s="761"/>
    </row>
    <row r="1095" spans="1:12" s="732" customFormat="1" ht="15">
      <c r="A1095" s="731" t="s">
        <v>1587</v>
      </c>
      <c r="B1095" s="890" t="s">
        <v>40</v>
      </c>
      <c r="C1095" s="889"/>
      <c r="D1095" s="889"/>
      <c r="E1095" s="889"/>
      <c r="F1095" s="889"/>
      <c r="G1095" s="891"/>
      <c r="H1095" s="891"/>
      <c r="I1095" s="829"/>
      <c r="J1095" s="754"/>
      <c r="K1095" s="760"/>
      <c r="L1095" s="761"/>
    </row>
    <row r="1096" spans="1:12" s="732" customFormat="1" ht="9" customHeight="1">
      <c r="A1096" s="799"/>
      <c r="B1096" s="889"/>
      <c r="C1096" s="889"/>
      <c r="D1096" s="889"/>
      <c r="E1096" s="889"/>
      <c r="F1096" s="889"/>
      <c r="G1096" s="891"/>
      <c r="H1096" s="891"/>
      <c r="I1096" s="829"/>
      <c r="J1096" s="754"/>
      <c r="K1096" s="760"/>
      <c r="L1096" s="761"/>
    </row>
    <row r="1097" spans="1:12" s="732" customFormat="1" ht="15">
      <c r="A1097" s="799"/>
      <c r="B1097" s="1277" t="s">
        <v>789</v>
      </c>
      <c r="C1097" s="1277"/>
      <c r="D1097" s="1277"/>
      <c r="E1097" s="889"/>
      <c r="F1097" s="889"/>
      <c r="G1097" s="891"/>
      <c r="H1097" s="891"/>
      <c r="I1097" s="829"/>
      <c r="J1097" s="754"/>
      <c r="K1097" s="760"/>
      <c r="L1097" s="761"/>
    </row>
    <row r="1098" spans="1:12" s="732" customFormat="1" ht="9" customHeight="1">
      <c r="A1098" s="799"/>
      <c r="B1098" s="890"/>
      <c r="C1098" s="890"/>
      <c r="D1098" s="890"/>
      <c r="E1098" s="889"/>
      <c r="F1098" s="889"/>
      <c r="G1098" s="891"/>
      <c r="H1098" s="891"/>
      <c r="I1098" s="829"/>
      <c r="J1098" s="754"/>
      <c r="K1098" s="760"/>
      <c r="L1098" s="761"/>
    </row>
    <row r="1099" spans="1:14" s="732" customFormat="1" ht="15">
      <c r="A1099" s="731" t="s">
        <v>1587</v>
      </c>
      <c r="B1099" s="805" t="s">
        <v>49</v>
      </c>
      <c r="C1099" s="743"/>
      <c r="D1099" s="743"/>
      <c r="E1099" s="743"/>
      <c r="F1099" s="743"/>
      <c r="G1099" s="743"/>
      <c r="H1099" s="743"/>
      <c r="I1099" s="765"/>
      <c r="J1099" s="754"/>
      <c r="K1099" s="760"/>
      <c r="L1099" s="761"/>
      <c r="N1099" s="758"/>
    </row>
    <row r="1100" spans="1:12" s="748" customFormat="1" ht="9" customHeight="1">
      <c r="A1100" s="731"/>
      <c r="B1100" s="743"/>
      <c r="C1100" s="743"/>
      <c r="D1100" s="743"/>
      <c r="E1100" s="743"/>
      <c r="F1100" s="743"/>
      <c r="G1100" s="743"/>
      <c r="H1100" s="743"/>
      <c r="I1100" s="765"/>
      <c r="J1100" s="755"/>
      <c r="K1100" s="760"/>
      <c r="L1100" s="842"/>
    </row>
    <row r="1101" spans="1:12" s="748" customFormat="1" ht="15">
      <c r="A1101" s="731"/>
      <c r="B1101" s="805" t="s">
        <v>1345</v>
      </c>
      <c r="C1101" s="743"/>
      <c r="D1101" s="743"/>
      <c r="E1101" s="743"/>
      <c r="F1101" s="743"/>
      <c r="G1101" s="743"/>
      <c r="H1101" s="743"/>
      <c r="I1101" s="765"/>
      <c r="J1101" s="755"/>
      <c r="K1101" s="760"/>
      <c r="L1101" s="842"/>
    </row>
    <row r="1102" spans="1:12" s="748" customFormat="1" ht="9" customHeight="1">
      <c r="A1102" s="731"/>
      <c r="B1102" s="743"/>
      <c r="C1102" s="743"/>
      <c r="D1102" s="743"/>
      <c r="E1102" s="743"/>
      <c r="F1102" s="743"/>
      <c r="G1102" s="743"/>
      <c r="H1102" s="743"/>
      <c r="I1102" s="765"/>
      <c r="J1102" s="755"/>
      <c r="K1102" s="760"/>
      <c r="L1102" s="842"/>
    </row>
    <row r="1103" spans="1:12" s="748" customFormat="1" ht="51" customHeight="1">
      <c r="A1103" s="731"/>
      <c r="B1103" s="1277" t="s">
        <v>797</v>
      </c>
      <c r="C1103" s="1277"/>
      <c r="D1103" s="1277"/>
      <c r="E1103" s="774"/>
      <c r="F1103" s="743"/>
      <c r="G1103" s="743"/>
      <c r="H1103" s="743"/>
      <c r="I1103" s="765"/>
      <c r="J1103" s="755"/>
      <c r="K1103" s="760"/>
      <c r="L1103" s="842"/>
    </row>
    <row r="1104" spans="1:12" s="748" customFormat="1" ht="9" customHeight="1">
      <c r="A1104" s="731"/>
      <c r="B1104" s="889"/>
      <c r="C1104" s="889"/>
      <c r="D1104" s="889"/>
      <c r="E1104" s="774"/>
      <c r="F1104" s="743"/>
      <c r="G1104" s="743"/>
      <c r="H1104" s="743"/>
      <c r="I1104" s="765"/>
      <c r="J1104" s="755"/>
      <c r="K1104" s="760"/>
      <c r="L1104" s="842"/>
    </row>
    <row r="1105" spans="1:12" s="748" customFormat="1" ht="15" customHeight="1">
      <c r="A1105" s="731"/>
      <c r="B1105" s="889" t="s">
        <v>799</v>
      </c>
      <c r="C1105" s="889"/>
      <c r="D1105" s="889"/>
      <c r="E1105" s="774"/>
      <c r="F1105" s="743"/>
      <c r="G1105" s="743"/>
      <c r="H1105" s="743"/>
      <c r="I1105" s="765"/>
      <c r="J1105" s="755"/>
      <c r="K1105" s="760"/>
      <c r="L1105" s="842"/>
    </row>
    <row r="1106" spans="1:14" s="748" customFormat="1" ht="9" customHeight="1">
      <c r="A1106" s="731"/>
      <c r="B1106" s="743"/>
      <c r="C1106" s="743"/>
      <c r="D1106" s="743"/>
      <c r="E1106" s="743"/>
      <c r="F1106" s="743"/>
      <c r="G1106" s="743"/>
      <c r="H1106" s="743"/>
      <c r="I1106" s="765"/>
      <c r="J1106" s="755"/>
      <c r="K1106" s="760"/>
      <c r="L1106" s="842"/>
      <c r="N1106" s="882" t="e">
        <f>-SUM(#REF!)</f>
        <v>#REF!</v>
      </c>
    </row>
    <row r="1107" spans="1:14" s="748" customFormat="1" ht="15">
      <c r="A1107" s="731"/>
      <c r="B1107" s="805" t="s">
        <v>1348</v>
      </c>
      <c r="C1107" s="805"/>
      <c r="D1107" s="805"/>
      <c r="E1107" s="805"/>
      <c r="F1107" s="805"/>
      <c r="G1107" s="837"/>
      <c r="H1107" s="805"/>
      <c r="I1107" s="765">
        <v>135052941</v>
      </c>
      <c r="J1107" s="755"/>
      <c r="K1107" s="760"/>
      <c r="L1107" s="842"/>
      <c r="N1107" s="882"/>
    </row>
    <row r="1108" spans="1:14" s="748" customFormat="1" ht="9" customHeight="1">
      <c r="A1108" s="731"/>
      <c r="B1108" s="743"/>
      <c r="C1108" s="743"/>
      <c r="D1108" s="743"/>
      <c r="E1108" s="743"/>
      <c r="F1108" s="743"/>
      <c r="G1108" s="837"/>
      <c r="H1108" s="743"/>
      <c r="I1108" s="765"/>
      <c r="J1108" s="755"/>
      <c r="K1108" s="760"/>
      <c r="L1108" s="842"/>
      <c r="N1108" s="882"/>
    </row>
    <row r="1109" spans="1:14" s="748" customFormat="1" ht="15">
      <c r="A1109" s="731"/>
      <c r="B1109" s="743" t="s">
        <v>1347</v>
      </c>
      <c r="C1109" s="743"/>
      <c r="D1109" s="743"/>
      <c r="E1109" s="743" t="s">
        <v>1587</v>
      </c>
      <c r="F1109" s="743"/>
      <c r="G1109" s="837"/>
      <c r="H1109" s="743"/>
      <c r="I1109" s="765">
        <f>-842111+198819</f>
        <v>-643292</v>
      </c>
      <c r="J1109" s="755"/>
      <c r="K1109" s="760"/>
      <c r="L1109" s="842"/>
      <c r="N1109" s="882"/>
    </row>
    <row r="1110" spans="1:14" s="748" customFormat="1" ht="15">
      <c r="A1110" s="731"/>
      <c r="B1110" s="743" t="s">
        <v>798</v>
      </c>
      <c r="C1110" s="743"/>
      <c r="D1110" s="743"/>
      <c r="E1110" s="743"/>
      <c r="F1110" s="743"/>
      <c r="G1110" s="837"/>
      <c r="H1110" s="743"/>
      <c r="I1110" s="765">
        <v>94128</v>
      </c>
      <c r="J1110" s="755"/>
      <c r="K1110" s="760"/>
      <c r="L1110" s="842"/>
      <c r="N1110" s="882"/>
    </row>
    <row r="1111" spans="1:14" s="748" customFormat="1" ht="9" customHeight="1">
      <c r="A1111" s="731"/>
      <c r="B1111" s="743"/>
      <c r="C1111" s="743"/>
      <c r="D1111" s="743"/>
      <c r="E1111" s="743"/>
      <c r="F1111" s="743"/>
      <c r="G1111" s="837"/>
      <c r="H1111" s="743"/>
      <c r="I1111" s="765"/>
      <c r="J1111" s="755"/>
      <c r="K1111" s="760"/>
      <c r="L1111" s="842"/>
      <c r="N1111" s="882"/>
    </row>
    <row r="1112" spans="1:14" s="748" customFormat="1" ht="15.75" thickBot="1">
      <c r="A1112" s="731"/>
      <c r="B1112" s="805" t="s">
        <v>838</v>
      </c>
      <c r="C1112" s="805"/>
      <c r="D1112" s="805"/>
      <c r="E1112" s="805"/>
      <c r="F1112" s="805"/>
      <c r="G1112" s="837"/>
      <c r="H1112" s="805"/>
      <c r="I1112" s="771">
        <f>SUM(I1107:I1110)</f>
        <v>134503777</v>
      </c>
      <c r="J1112" s="755"/>
      <c r="K1112" s="760"/>
      <c r="L1112" s="842"/>
      <c r="N1112" s="882"/>
    </row>
    <row r="1113" spans="1:12" s="732" customFormat="1" ht="9.75" customHeight="1" thickTop="1">
      <c r="A1113" s="799"/>
      <c r="B1113" s="892"/>
      <c r="C1113" s="889"/>
      <c r="D1113" s="889"/>
      <c r="E1113" s="893"/>
      <c r="F1113" s="893"/>
      <c r="G1113" s="893"/>
      <c r="H1113" s="893"/>
      <c r="I1113" s="902"/>
      <c r="J1113" s="754"/>
      <c r="K1113" s="760"/>
      <c r="L1113" s="761"/>
    </row>
    <row r="1114" spans="1:14" s="732" customFormat="1" ht="15">
      <c r="A1114" s="731" t="s">
        <v>1587</v>
      </c>
      <c r="B1114" s="805" t="s">
        <v>41</v>
      </c>
      <c r="C1114" s="743"/>
      <c r="D1114" s="743"/>
      <c r="E1114" s="743"/>
      <c r="F1114" s="743"/>
      <c r="G1114" s="743"/>
      <c r="H1114" s="743"/>
      <c r="I1114" s="765"/>
      <c r="J1114" s="754"/>
      <c r="K1114" s="760"/>
      <c r="L1114" s="761"/>
      <c r="N1114" s="758"/>
    </row>
    <row r="1115" spans="1:12" s="748" customFormat="1" ht="9" customHeight="1">
      <c r="A1115" s="731"/>
      <c r="B1115" s="743"/>
      <c r="C1115" s="743"/>
      <c r="D1115" s="743"/>
      <c r="E1115" s="743"/>
      <c r="F1115" s="743"/>
      <c r="G1115" s="743"/>
      <c r="H1115" s="743"/>
      <c r="I1115" s="765"/>
      <c r="J1115" s="755"/>
      <c r="K1115" s="760"/>
      <c r="L1115" s="842"/>
    </row>
    <row r="1116" spans="1:12" s="748" customFormat="1" ht="15">
      <c r="A1116" s="731"/>
      <c r="B1116" s="805" t="s">
        <v>1364</v>
      </c>
      <c r="C1116" s="743"/>
      <c r="D1116" s="743"/>
      <c r="E1116" s="743"/>
      <c r="F1116" s="743"/>
      <c r="G1116" s="743"/>
      <c r="H1116" s="743"/>
      <c r="I1116" s="765"/>
      <c r="J1116" s="755"/>
      <c r="K1116" s="760"/>
      <c r="L1116" s="842"/>
    </row>
    <row r="1117" spans="1:12" s="748" customFormat="1" ht="9" customHeight="1">
      <c r="A1117" s="731"/>
      <c r="B1117" s="743"/>
      <c r="C1117" s="743"/>
      <c r="D1117" s="743"/>
      <c r="E1117" s="743"/>
      <c r="F1117" s="743"/>
      <c r="G1117" s="743"/>
      <c r="H1117" s="743"/>
      <c r="I1117" s="765"/>
      <c r="J1117" s="755"/>
      <c r="K1117" s="760"/>
      <c r="L1117" s="842"/>
    </row>
    <row r="1118" spans="1:12" s="748" customFormat="1" ht="15">
      <c r="A1118" s="731"/>
      <c r="B1118" s="743" t="s">
        <v>762</v>
      </c>
      <c r="C1118" s="743"/>
      <c r="D1118" s="743"/>
      <c r="E1118" s="743"/>
      <c r="F1118" s="743"/>
      <c r="G1118" s="743"/>
      <c r="H1118" s="743"/>
      <c r="I1118" s="765"/>
      <c r="J1118" s="755"/>
      <c r="K1118" s="760"/>
      <c r="L1118" s="842"/>
    </row>
    <row r="1119" spans="1:12" s="748" customFormat="1" ht="9" customHeight="1">
      <c r="A1119" s="731"/>
      <c r="B1119" s="743"/>
      <c r="C1119" s="743"/>
      <c r="D1119" s="743"/>
      <c r="E1119" s="743"/>
      <c r="F1119" s="743"/>
      <c r="G1119" s="743"/>
      <c r="H1119" s="743"/>
      <c r="I1119" s="765"/>
      <c r="J1119" s="755"/>
      <c r="K1119" s="760"/>
      <c r="L1119" s="842"/>
    </row>
    <row r="1120" spans="1:12" s="748" customFormat="1" ht="15">
      <c r="A1120" s="731"/>
      <c r="B1120" s="805" t="s">
        <v>763</v>
      </c>
      <c r="C1120" s="743"/>
      <c r="D1120" s="743"/>
      <c r="E1120" s="743"/>
      <c r="F1120" s="743"/>
      <c r="G1120" s="743"/>
      <c r="H1120" s="743"/>
      <c r="I1120" s="765"/>
      <c r="J1120" s="755"/>
      <c r="K1120" s="760"/>
      <c r="L1120" s="842"/>
    </row>
    <row r="1121" spans="1:12" s="748" customFormat="1" ht="9" customHeight="1">
      <c r="A1121" s="731"/>
      <c r="B1121" s="743"/>
      <c r="C1121" s="743"/>
      <c r="D1121" s="743"/>
      <c r="E1121" s="743"/>
      <c r="F1121" s="743"/>
      <c r="G1121" s="743"/>
      <c r="H1121" s="743"/>
      <c r="I1121" s="765"/>
      <c r="J1121" s="755"/>
      <c r="K1121" s="760"/>
      <c r="L1121" s="842"/>
    </row>
    <row r="1122" spans="1:12" s="748" customFormat="1" ht="15">
      <c r="A1122" s="731"/>
      <c r="B1122" s="743" t="s">
        <v>764</v>
      </c>
      <c r="C1122" s="743"/>
      <c r="D1122" s="743"/>
      <c r="E1122" s="743"/>
      <c r="F1122" s="743"/>
      <c r="G1122" s="743"/>
      <c r="H1122" s="743"/>
      <c r="I1122" s="765"/>
      <c r="J1122" s="755"/>
      <c r="K1122" s="760"/>
      <c r="L1122" s="842"/>
    </row>
    <row r="1123" spans="1:12" s="748" customFormat="1" ht="9" customHeight="1">
      <c r="A1123" s="731"/>
      <c r="B1123" s="743"/>
      <c r="C1123" s="743"/>
      <c r="D1123" s="743"/>
      <c r="E1123" s="743"/>
      <c r="F1123" s="743"/>
      <c r="G1123" s="743"/>
      <c r="H1123" s="743"/>
      <c r="I1123" s="765"/>
      <c r="J1123" s="755"/>
      <c r="K1123" s="760"/>
      <c r="L1123" s="842"/>
    </row>
    <row r="1124" spans="1:12" s="748" customFormat="1" ht="15">
      <c r="A1124" s="731"/>
      <c r="B1124" s="805" t="s">
        <v>765</v>
      </c>
      <c r="C1124" s="743"/>
      <c r="D1124" s="743"/>
      <c r="E1124" s="743"/>
      <c r="F1124" s="743"/>
      <c r="G1124" s="743"/>
      <c r="H1124" s="743"/>
      <c r="I1124" s="765"/>
      <c r="J1124" s="755"/>
      <c r="K1124" s="760"/>
      <c r="L1124" s="842"/>
    </row>
    <row r="1125" spans="1:12" s="748" customFormat="1" ht="9" customHeight="1">
      <c r="A1125" s="731"/>
      <c r="B1125" s="743"/>
      <c r="C1125" s="743"/>
      <c r="D1125" s="743"/>
      <c r="E1125" s="743"/>
      <c r="F1125" s="743"/>
      <c r="G1125" s="743"/>
      <c r="H1125" s="743"/>
      <c r="I1125" s="765"/>
      <c r="J1125" s="755"/>
      <c r="K1125" s="760"/>
      <c r="L1125" s="842"/>
    </row>
    <row r="1126" spans="1:12" s="748" customFormat="1" ht="21" customHeight="1">
      <c r="A1126" s="731"/>
      <c r="B1126" s="743" t="s">
        <v>66</v>
      </c>
      <c r="C1126" s="743"/>
      <c r="D1126" s="743"/>
      <c r="E1126" s="743"/>
      <c r="F1126" s="743"/>
      <c r="G1126" s="743"/>
      <c r="H1126" s="743"/>
      <c r="I1126" s="765"/>
      <c r="J1126" s="755"/>
      <c r="K1126" s="760"/>
      <c r="L1126" s="842"/>
    </row>
    <row r="1127" spans="1:14" s="748" customFormat="1" ht="9" customHeight="1">
      <c r="A1127" s="731"/>
      <c r="B1127" s="743"/>
      <c r="C1127" s="743"/>
      <c r="D1127" s="743"/>
      <c r="E1127" s="743"/>
      <c r="F1127" s="743"/>
      <c r="G1127" s="743"/>
      <c r="H1127" s="743"/>
      <c r="I1127" s="765"/>
      <c r="J1127" s="755"/>
      <c r="K1127" s="760"/>
      <c r="L1127" s="842"/>
      <c r="N1127" s="882" t="e">
        <f>-SUM(#REF!)</f>
        <v>#REF!</v>
      </c>
    </row>
    <row r="1128" spans="1:14" s="748" customFormat="1" ht="15">
      <c r="A1128" s="731"/>
      <c r="B1128" s="805" t="s">
        <v>1350</v>
      </c>
      <c r="C1128" s="805"/>
      <c r="D1128" s="805"/>
      <c r="E1128" s="805"/>
      <c r="F1128" s="805"/>
      <c r="G1128" s="837"/>
      <c r="H1128" s="805"/>
      <c r="I1128" s="765">
        <v>16222402</v>
      </c>
      <c r="J1128" s="755"/>
      <c r="K1128" s="760"/>
      <c r="L1128" s="842"/>
      <c r="N1128" s="882"/>
    </row>
    <row r="1129" spans="1:14" s="748" customFormat="1" ht="9" customHeight="1">
      <c r="A1129" s="731"/>
      <c r="B1129" s="743"/>
      <c r="C1129" s="743"/>
      <c r="D1129" s="743"/>
      <c r="E1129" s="743"/>
      <c r="F1129" s="743"/>
      <c r="G1129" s="837"/>
      <c r="H1129" s="743"/>
      <c r="I1129" s="765"/>
      <c r="J1129" s="755"/>
      <c r="K1129" s="760"/>
      <c r="L1129" s="842"/>
      <c r="N1129" s="882"/>
    </row>
    <row r="1130" spans="1:14" s="748" customFormat="1" ht="15">
      <c r="A1130" s="731"/>
      <c r="B1130" s="743" t="s">
        <v>1349</v>
      </c>
      <c r="C1130" s="743"/>
      <c r="D1130" s="743"/>
      <c r="E1130" s="743"/>
      <c r="F1130" s="743"/>
      <c r="G1130" s="837"/>
      <c r="H1130" s="743"/>
      <c r="I1130" s="765">
        <f>-3070223+198819</f>
        <v>-2871404</v>
      </c>
      <c r="J1130" s="755"/>
      <c r="K1130" s="760"/>
      <c r="L1130" s="842"/>
      <c r="N1130" s="882"/>
    </row>
    <row r="1131" spans="1:14" s="748" customFormat="1" ht="15">
      <c r="A1131" s="731"/>
      <c r="B1131" s="743" t="s">
        <v>761</v>
      </c>
      <c r="C1131" s="743"/>
      <c r="D1131" s="743"/>
      <c r="E1131" s="743"/>
      <c r="F1131" s="743"/>
      <c r="G1131" s="837"/>
      <c r="H1131" s="743"/>
      <c r="I1131" s="765">
        <v>937002</v>
      </c>
      <c r="J1131" s="755"/>
      <c r="K1131" s="760"/>
      <c r="L1131" s="842"/>
      <c r="N1131" s="882"/>
    </row>
    <row r="1132" spans="1:14" s="748" customFormat="1" ht="15">
      <c r="A1132" s="731"/>
      <c r="B1132" s="743" t="s">
        <v>96</v>
      </c>
      <c r="C1132" s="743"/>
      <c r="D1132" s="743"/>
      <c r="E1132" s="743"/>
      <c r="F1132" s="743"/>
      <c r="G1132" s="837"/>
      <c r="H1132" s="743"/>
      <c r="I1132" s="765">
        <v>1347731</v>
      </c>
      <c r="J1132" s="755"/>
      <c r="K1132" s="760"/>
      <c r="L1132" s="842"/>
      <c r="N1132" s="882"/>
    </row>
    <row r="1133" spans="1:14" s="748" customFormat="1" ht="9" customHeight="1">
      <c r="A1133" s="731"/>
      <c r="B1133" s="743"/>
      <c r="C1133" s="743"/>
      <c r="D1133" s="743"/>
      <c r="E1133" s="743"/>
      <c r="F1133" s="743"/>
      <c r="G1133" s="837"/>
      <c r="H1133" s="743"/>
      <c r="I1133" s="765"/>
      <c r="J1133" s="755"/>
      <c r="K1133" s="760"/>
      <c r="L1133" s="842"/>
      <c r="N1133" s="882"/>
    </row>
    <row r="1134" spans="1:14" s="748" customFormat="1" ht="15.75" thickBot="1">
      <c r="A1134" s="731"/>
      <c r="B1134" s="805" t="s">
        <v>1351</v>
      </c>
      <c r="C1134" s="805"/>
      <c r="D1134" s="805"/>
      <c r="E1134" s="805"/>
      <c r="F1134" s="805"/>
      <c r="G1134" s="837"/>
      <c r="H1134" s="805"/>
      <c r="I1134" s="771">
        <f>SUM(I1128:I1132)</f>
        <v>15635731</v>
      </c>
      <c r="J1134" s="755"/>
      <c r="K1134" s="760"/>
      <c r="L1134" s="842"/>
      <c r="N1134" s="882"/>
    </row>
    <row r="1135" spans="1:14" s="748" customFormat="1" ht="9" customHeight="1" thickTop="1">
      <c r="A1135" s="731"/>
      <c r="B1135" s="805"/>
      <c r="C1135" s="805"/>
      <c r="D1135" s="805"/>
      <c r="E1135" s="805"/>
      <c r="F1135" s="805"/>
      <c r="G1135" s="837"/>
      <c r="H1135" s="805"/>
      <c r="I1135" s="765"/>
      <c r="J1135" s="755"/>
      <c r="K1135" s="760"/>
      <c r="L1135" s="842"/>
      <c r="N1135" s="882"/>
    </row>
    <row r="1136" spans="1:14" s="748" customFormat="1" ht="15">
      <c r="A1136" s="731" t="s">
        <v>1587</v>
      </c>
      <c r="B1136" s="805" t="s">
        <v>42</v>
      </c>
      <c r="C1136" s="805"/>
      <c r="D1136" s="805"/>
      <c r="E1136" s="805"/>
      <c r="F1136" s="805"/>
      <c r="G1136" s="837"/>
      <c r="H1136" s="805"/>
      <c r="I1136" s="765"/>
      <c r="J1136" s="755"/>
      <c r="K1136" s="760"/>
      <c r="L1136" s="842"/>
      <c r="N1136" s="882"/>
    </row>
    <row r="1137" spans="1:14" s="748" customFormat="1" ht="9" customHeight="1">
      <c r="A1137" s="731"/>
      <c r="B1137" s="805"/>
      <c r="C1137" s="805"/>
      <c r="D1137" s="805"/>
      <c r="E1137" s="805"/>
      <c r="F1137" s="805"/>
      <c r="G1137" s="837"/>
      <c r="H1137" s="805"/>
      <c r="I1137" s="765"/>
      <c r="J1137" s="755"/>
      <c r="K1137" s="760"/>
      <c r="L1137" s="842"/>
      <c r="N1137" s="882"/>
    </row>
    <row r="1138" spans="1:14" s="748" customFormat="1" ht="15">
      <c r="A1138" s="731"/>
      <c r="B1138" s="805" t="s">
        <v>781</v>
      </c>
      <c r="C1138" s="805"/>
      <c r="D1138" s="805"/>
      <c r="E1138" s="805"/>
      <c r="F1138" s="805"/>
      <c r="G1138" s="837"/>
      <c r="H1138" s="805"/>
      <c r="I1138" s="765">
        <v>136994381</v>
      </c>
      <c r="J1138" s="755"/>
      <c r="K1138" s="760"/>
      <c r="L1138" s="842"/>
      <c r="N1138" s="882"/>
    </row>
    <row r="1139" spans="1:14" s="748" customFormat="1" ht="9" customHeight="1">
      <c r="A1139" s="731"/>
      <c r="B1139" s="743"/>
      <c r="C1139" s="743"/>
      <c r="D1139" s="743"/>
      <c r="E1139" s="743"/>
      <c r="F1139" s="743"/>
      <c r="G1139" s="837"/>
      <c r="H1139" s="743"/>
      <c r="I1139" s="765"/>
      <c r="J1139" s="755"/>
      <c r="K1139" s="760"/>
      <c r="L1139" s="842"/>
      <c r="N1139" s="882"/>
    </row>
    <row r="1140" spans="1:14" s="748" customFormat="1" ht="15">
      <c r="A1140" s="731"/>
      <c r="B1140" s="743" t="s">
        <v>783</v>
      </c>
      <c r="C1140" s="743"/>
      <c r="D1140" s="743"/>
      <c r="E1140" s="743"/>
      <c r="F1140" s="743"/>
      <c r="G1140" s="837"/>
      <c r="H1140" s="743"/>
      <c r="I1140" s="765">
        <v>32715</v>
      </c>
      <c r="J1140" s="755"/>
      <c r="K1140" s="760"/>
      <c r="L1140" s="842"/>
      <c r="N1140" s="882"/>
    </row>
    <row r="1141" spans="1:14" s="748" customFormat="1" ht="9" customHeight="1">
      <c r="A1141" s="731"/>
      <c r="B1141" s="743"/>
      <c r="C1141" s="743"/>
      <c r="D1141" s="743"/>
      <c r="E1141" s="743"/>
      <c r="F1141" s="743"/>
      <c r="G1141" s="837"/>
      <c r="H1141" s="743"/>
      <c r="I1141" s="765"/>
      <c r="J1141" s="755"/>
      <c r="K1141" s="760"/>
      <c r="L1141" s="842"/>
      <c r="N1141" s="882"/>
    </row>
    <row r="1142" spans="1:14" s="748" customFormat="1" ht="15.75" thickBot="1">
      <c r="A1142" s="731"/>
      <c r="B1142" s="805" t="s">
        <v>1351</v>
      </c>
      <c r="C1142" s="805"/>
      <c r="D1142" s="805"/>
      <c r="E1142" s="805"/>
      <c r="F1142" s="805"/>
      <c r="G1142" s="837"/>
      <c r="H1142" s="805"/>
      <c r="I1142" s="771">
        <f>SUM(I1138:I1140)</f>
        <v>137027096</v>
      </c>
      <c r="J1142" s="755"/>
      <c r="K1142" s="760"/>
      <c r="L1142" s="842"/>
      <c r="N1142" s="882"/>
    </row>
    <row r="1143" spans="1:14" s="748" customFormat="1" ht="9" customHeight="1" thickTop="1">
      <c r="A1143" s="731"/>
      <c r="B1143" s="805"/>
      <c r="C1143" s="805"/>
      <c r="D1143" s="805"/>
      <c r="E1143" s="805"/>
      <c r="F1143" s="805"/>
      <c r="G1143" s="837"/>
      <c r="H1143" s="805"/>
      <c r="I1143" s="765"/>
      <c r="J1143" s="755"/>
      <c r="K1143" s="760"/>
      <c r="L1143" s="842"/>
      <c r="N1143" s="882"/>
    </row>
    <row r="1144" spans="1:14" s="748" customFormat="1" ht="15">
      <c r="A1144" s="731" t="s">
        <v>1587</v>
      </c>
      <c r="B1144" s="805" t="s">
        <v>43</v>
      </c>
      <c r="C1144" s="805"/>
      <c r="D1144" s="805"/>
      <c r="E1144" s="805"/>
      <c r="F1144" s="805"/>
      <c r="G1144" s="837"/>
      <c r="H1144" s="805"/>
      <c r="I1144" s="765"/>
      <c r="J1144" s="755"/>
      <c r="K1144" s="760"/>
      <c r="L1144" s="842"/>
      <c r="N1144" s="882"/>
    </row>
    <row r="1145" spans="1:14" s="748" customFormat="1" ht="9" customHeight="1">
      <c r="A1145" s="731"/>
      <c r="B1145" s="805"/>
      <c r="C1145" s="805"/>
      <c r="D1145" s="805"/>
      <c r="E1145" s="805"/>
      <c r="F1145" s="805"/>
      <c r="G1145" s="837"/>
      <c r="H1145" s="805"/>
      <c r="I1145" s="765"/>
      <c r="J1145" s="755"/>
      <c r="K1145" s="760"/>
      <c r="L1145" s="842"/>
      <c r="N1145" s="882"/>
    </row>
    <row r="1146" spans="1:14" s="732" customFormat="1" ht="14.25">
      <c r="A1146" s="799"/>
      <c r="B1146" s="743" t="s">
        <v>809</v>
      </c>
      <c r="C1146" s="743"/>
      <c r="D1146" s="743"/>
      <c r="E1146" s="743"/>
      <c r="F1146" s="743"/>
      <c r="G1146" s="837"/>
      <c r="H1146" s="743"/>
      <c r="I1146" s="765"/>
      <c r="J1146" s="754"/>
      <c r="K1146" s="933"/>
      <c r="L1146" s="761"/>
      <c r="N1146" s="758"/>
    </row>
    <row r="1147" spans="1:14" s="748" customFormat="1" ht="9" customHeight="1">
      <c r="A1147" s="731"/>
      <c r="B1147" s="805"/>
      <c r="C1147" s="805"/>
      <c r="D1147" s="805"/>
      <c r="E1147" s="805"/>
      <c r="F1147" s="805"/>
      <c r="G1147" s="837"/>
      <c r="H1147" s="805"/>
      <c r="I1147" s="765"/>
      <c r="J1147" s="755"/>
      <c r="K1147" s="760"/>
      <c r="L1147" s="842"/>
      <c r="N1147" s="882"/>
    </row>
    <row r="1148" spans="1:14" s="748" customFormat="1" ht="15">
      <c r="A1148" s="731"/>
      <c r="B1148" s="1277" t="s">
        <v>1282</v>
      </c>
      <c r="C1148" s="1276"/>
      <c r="D1148" s="1276"/>
      <c r="E1148" s="1276"/>
      <c r="F1148" s="805"/>
      <c r="G1148" s="837"/>
      <c r="H1148" s="805"/>
      <c r="I1148" s="765"/>
      <c r="J1148" s="755"/>
      <c r="K1148" s="760"/>
      <c r="L1148" s="842"/>
      <c r="N1148" s="882"/>
    </row>
    <row r="1149" spans="1:14" s="748" customFormat="1" ht="11.25" customHeight="1">
      <c r="A1149" s="731"/>
      <c r="B1149" s="889"/>
      <c r="C1149" s="732"/>
      <c r="D1149" s="732"/>
      <c r="E1149" s="732"/>
      <c r="F1149" s="805"/>
      <c r="G1149" s="837"/>
      <c r="H1149" s="805"/>
      <c r="I1149" s="765"/>
      <c r="J1149" s="755"/>
      <c r="K1149" s="760"/>
      <c r="L1149" s="842"/>
      <c r="N1149" s="882"/>
    </row>
    <row r="1150" spans="1:14" s="748" customFormat="1" ht="15">
      <c r="A1150" s="731"/>
      <c r="B1150" s="805" t="s">
        <v>785</v>
      </c>
      <c r="C1150" s="805"/>
      <c r="D1150" s="805"/>
      <c r="E1150" s="805"/>
      <c r="F1150" s="805"/>
      <c r="G1150" s="837"/>
      <c r="H1150" s="805"/>
      <c r="I1150" s="1121" t="s">
        <v>957</v>
      </c>
      <c r="J1150" s="755"/>
      <c r="K1150" s="760"/>
      <c r="L1150" s="842"/>
      <c r="N1150" s="882"/>
    </row>
    <row r="1151" spans="1:14" s="748" customFormat="1" ht="11.25" customHeight="1">
      <c r="A1151" s="731"/>
      <c r="B1151" s="743"/>
      <c r="C1151" s="743"/>
      <c r="D1151" s="743"/>
      <c r="E1151" s="743"/>
      <c r="F1151" s="743"/>
      <c r="G1151" s="837"/>
      <c r="H1151" s="743"/>
      <c r="I1151" s="765"/>
      <c r="J1151" s="755"/>
      <c r="K1151" s="760"/>
      <c r="L1151" s="842"/>
      <c r="N1151" s="882"/>
    </row>
    <row r="1152" spans="1:14" s="748" customFormat="1" ht="18" customHeight="1">
      <c r="A1152" s="731"/>
      <c r="B1152" s="743" t="s">
        <v>123</v>
      </c>
      <c r="C1152" s="743"/>
      <c r="D1152" s="743"/>
      <c r="E1152" s="743"/>
      <c r="F1152" s="743"/>
      <c r="G1152" s="837"/>
      <c r="H1152" s="743"/>
      <c r="I1152" s="765">
        <v>59042747</v>
      </c>
      <c r="J1152" s="755"/>
      <c r="K1152" s="760"/>
      <c r="L1152" s="842"/>
      <c r="N1152" s="882"/>
    </row>
    <row r="1153" spans="1:14" s="748" customFormat="1" ht="9" customHeight="1">
      <c r="A1153" s="731"/>
      <c r="B1153" s="743"/>
      <c r="C1153" s="743"/>
      <c r="D1153" s="743"/>
      <c r="E1153" s="743"/>
      <c r="F1153" s="743"/>
      <c r="G1153" s="837"/>
      <c r="H1153" s="743"/>
      <c r="I1153" s="765"/>
      <c r="J1153" s="755"/>
      <c r="K1153" s="760"/>
      <c r="L1153" s="842"/>
      <c r="N1153" s="882"/>
    </row>
    <row r="1154" spans="2:14" s="748" customFormat="1" ht="15.75" thickBot="1">
      <c r="B1154" s="805" t="s">
        <v>784</v>
      </c>
      <c r="C1154" s="805"/>
      <c r="D1154" s="805"/>
      <c r="E1154" s="805"/>
      <c r="F1154" s="805"/>
      <c r="G1154" s="837"/>
      <c r="H1154" s="805"/>
      <c r="I1154" s="771">
        <f>SUM(I1150:I1152)</f>
        <v>59042747</v>
      </c>
      <c r="J1154" s="755"/>
      <c r="K1154" s="760"/>
      <c r="L1154" s="842"/>
      <c r="N1154" s="882"/>
    </row>
    <row r="1155" ht="9" customHeight="1" thickTop="1">
      <c r="G1155" s="894"/>
    </row>
    <row r="1156" spans="1:7" ht="15">
      <c r="A1156" s="731" t="s">
        <v>1587</v>
      </c>
      <c r="B1156" s="805" t="s">
        <v>44</v>
      </c>
      <c r="G1156" s="894"/>
    </row>
    <row r="1157" ht="9" customHeight="1">
      <c r="G1157" s="894"/>
    </row>
    <row r="1158" spans="2:7" ht="15">
      <c r="B1158" s="1274" t="s">
        <v>786</v>
      </c>
      <c r="C1158" s="1274"/>
      <c r="D1158" s="1274"/>
      <c r="E1158" s="1274"/>
      <c r="G1158" s="894"/>
    </row>
    <row r="1159" spans="2:7" ht="9" customHeight="1">
      <c r="B1159" s="774"/>
      <c r="C1159" s="774"/>
      <c r="D1159" s="774"/>
      <c r="E1159" s="774"/>
      <c r="G1159" s="894"/>
    </row>
    <row r="1160" spans="1:14" s="748" customFormat="1" ht="15">
      <c r="A1160" s="731"/>
      <c r="B1160" s="805" t="s">
        <v>766</v>
      </c>
      <c r="C1160" s="805"/>
      <c r="D1160" s="805"/>
      <c r="E1160" s="805"/>
      <c r="F1160" s="805"/>
      <c r="G1160" s="837"/>
      <c r="H1160" s="805"/>
      <c r="I1160" s="765">
        <v>14952131</v>
      </c>
      <c r="J1160" s="755"/>
      <c r="K1160" s="760"/>
      <c r="L1160" s="842"/>
      <c r="N1160" s="882"/>
    </row>
    <row r="1161" spans="1:14" s="748" customFormat="1" ht="9" customHeight="1">
      <c r="A1161" s="731"/>
      <c r="B1161" s="743"/>
      <c r="C1161" s="743"/>
      <c r="D1161" s="743"/>
      <c r="E1161" s="743"/>
      <c r="F1161" s="743"/>
      <c r="G1161" s="837"/>
      <c r="H1161" s="743"/>
      <c r="I1161" s="765"/>
      <c r="J1161" s="755"/>
      <c r="K1161" s="760"/>
      <c r="L1161" s="842"/>
      <c r="N1161" s="882"/>
    </row>
    <row r="1162" spans="1:14" s="748" customFormat="1" ht="15">
      <c r="A1162" s="731"/>
      <c r="B1162" s="743" t="s">
        <v>767</v>
      </c>
      <c r="C1162" s="743"/>
      <c r="D1162" s="743"/>
      <c r="E1162" s="743"/>
      <c r="F1162" s="743"/>
      <c r="G1162" s="837"/>
      <c r="H1162" s="743"/>
      <c r="I1162" s="765">
        <v>4692182</v>
      </c>
      <c r="J1162" s="755"/>
      <c r="K1162" s="760"/>
      <c r="L1162" s="842"/>
      <c r="N1162" s="882"/>
    </row>
    <row r="1163" spans="1:14" s="748" customFormat="1" ht="9" customHeight="1">
      <c r="A1163" s="731"/>
      <c r="B1163" s="743"/>
      <c r="C1163" s="743"/>
      <c r="D1163" s="743"/>
      <c r="E1163" s="743"/>
      <c r="F1163" s="743"/>
      <c r="G1163" s="837"/>
      <c r="H1163" s="743"/>
      <c r="I1163" s="765"/>
      <c r="J1163" s="755"/>
      <c r="K1163" s="760"/>
      <c r="L1163" s="842"/>
      <c r="N1163" s="882"/>
    </row>
    <row r="1164" spans="1:14" s="748" customFormat="1" ht="15.75" thickBot="1">
      <c r="A1164" s="731"/>
      <c r="B1164" s="805" t="s">
        <v>768</v>
      </c>
      <c r="C1164" s="805"/>
      <c r="D1164" s="805"/>
      <c r="E1164" s="805"/>
      <c r="F1164" s="805"/>
      <c r="G1164" s="837"/>
      <c r="H1164" s="805"/>
      <c r="I1164" s="771">
        <f>SUM(I1160:I1162)</f>
        <v>19644313</v>
      </c>
      <c r="J1164" s="755"/>
      <c r="K1164" s="760"/>
      <c r="L1164" s="842"/>
      <c r="N1164" s="882"/>
    </row>
    <row r="1165" spans="1:12" s="821" customFormat="1" ht="8.25" customHeight="1" thickTop="1">
      <c r="A1165" s="794"/>
      <c r="B1165" s="794"/>
      <c r="C1165" s="794"/>
      <c r="D1165" s="794"/>
      <c r="E1165" s="794"/>
      <c r="F1165" s="794"/>
      <c r="G1165" s="794"/>
      <c r="H1165" s="794"/>
      <c r="I1165" s="1175"/>
      <c r="K1165" s="822"/>
      <c r="L1165" s="823"/>
    </row>
    <row r="1166" spans="1:12" s="821" customFormat="1" ht="8.25" customHeight="1">
      <c r="A1166" s="794"/>
      <c r="B1166" s="794"/>
      <c r="C1166" s="794"/>
      <c r="D1166" s="794"/>
      <c r="E1166" s="794"/>
      <c r="F1166" s="794"/>
      <c r="G1166" s="794"/>
      <c r="H1166" s="794"/>
      <c r="I1166" s="1175"/>
      <c r="K1166" s="822"/>
      <c r="L1166" s="823"/>
    </row>
    <row r="1167" spans="1:12" s="821" customFormat="1" ht="8.25" customHeight="1">
      <c r="A1167" s="794"/>
      <c r="B1167" s="794"/>
      <c r="C1167" s="794"/>
      <c r="D1167" s="794"/>
      <c r="E1167" s="794"/>
      <c r="F1167" s="794"/>
      <c r="G1167" s="794"/>
      <c r="H1167" s="794"/>
      <c r="I1167" s="1175"/>
      <c r="K1167" s="822"/>
      <c r="L1167" s="823"/>
    </row>
    <row r="1168" spans="1:12" s="821" customFormat="1" ht="8.25" customHeight="1">
      <c r="A1168" s="794"/>
      <c r="B1168" s="794"/>
      <c r="C1168" s="794"/>
      <c r="D1168" s="794"/>
      <c r="E1168" s="794"/>
      <c r="F1168" s="794"/>
      <c r="G1168" s="794"/>
      <c r="H1168" s="794"/>
      <c r="I1168" s="1175"/>
      <c r="K1168" s="822"/>
      <c r="L1168" s="823"/>
    </row>
    <row r="1169" spans="1:12" s="821" customFormat="1" ht="8.25" customHeight="1">
      <c r="A1169" s="794"/>
      <c r="B1169" s="794"/>
      <c r="C1169" s="794"/>
      <c r="D1169" s="794"/>
      <c r="E1169" s="794"/>
      <c r="F1169" s="794"/>
      <c r="G1169" s="794"/>
      <c r="H1169" s="794"/>
      <c r="I1169" s="1175"/>
      <c r="K1169" s="822"/>
      <c r="L1169" s="823"/>
    </row>
    <row r="1170" spans="1:9" ht="15">
      <c r="A1170" s="1271" t="s">
        <v>200</v>
      </c>
      <c r="B1170" s="1271"/>
      <c r="C1170" s="1271"/>
      <c r="D1170" s="1271"/>
      <c r="E1170" s="1271"/>
      <c r="F1170" s="1271"/>
      <c r="G1170" s="1271"/>
      <c r="H1170" s="1271"/>
      <c r="I1170" s="1271"/>
    </row>
    <row r="1171" spans="1:2" ht="15">
      <c r="A1171" s="731" t="s">
        <v>1587</v>
      </c>
      <c r="B1171" s="805" t="s">
        <v>45</v>
      </c>
    </row>
    <row r="1172" spans="2:5" ht="120.75" customHeight="1">
      <c r="B1172" s="1274" t="s">
        <v>790</v>
      </c>
      <c r="C1172" s="1274"/>
      <c r="D1172" s="1274"/>
      <c r="E1172" s="1274"/>
    </row>
    <row r="1173" spans="2:5" ht="9" customHeight="1">
      <c r="B1173" s="774"/>
      <c r="C1173" s="774"/>
      <c r="D1173" s="774"/>
      <c r="E1173" s="774"/>
    </row>
    <row r="1174" spans="1:14" s="748" customFormat="1" ht="15">
      <c r="A1174" s="731"/>
      <c r="B1174" s="805" t="s">
        <v>82</v>
      </c>
      <c r="C1174" s="805"/>
      <c r="D1174" s="805"/>
      <c r="E1174" s="805"/>
      <c r="F1174" s="805"/>
      <c r="G1174" s="837"/>
      <c r="H1174" s="805"/>
      <c r="I1174" s="765">
        <v>36531758</v>
      </c>
      <c r="J1174" s="755"/>
      <c r="K1174" s="760"/>
      <c r="L1174" s="842"/>
      <c r="N1174" s="882"/>
    </row>
    <row r="1175" spans="1:14" s="748" customFormat="1" ht="9" customHeight="1">
      <c r="A1175" s="731"/>
      <c r="B1175" s="984"/>
      <c r="C1175" s="743"/>
      <c r="D1175" s="743"/>
      <c r="E1175" s="743"/>
      <c r="F1175" s="743"/>
      <c r="G1175" s="837"/>
      <c r="H1175" s="743"/>
      <c r="I1175" s="765"/>
      <c r="J1175" s="755"/>
      <c r="K1175" s="760"/>
      <c r="L1175" s="842"/>
      <c r="N1175" s="882"/>
    </row>
    <row r="1176" spans="1:14" s="748" customFormat="1" ht="15">
      <c r="A1176" s="731"/>
      <c r="B1176" s="743" t="s">
        <v>810</v>
      </c>
      <c r="C1176" s="743"/>
      <c r="D1176" s="743"/>
      <c r="E1176" s="743"/>
      <c r="F1176" s="743"/>
      <c r="G1176" s="837"/>
      <c r="H1176" s="743"/>
      <c r="I1176" s="765">
        <v>-4053946</v>
      </c>
      <c r="J1176" s="755"/>
      <c r="K1176" s="760"/>
      <c r="L1176" s="842"/>
      <c r="N1176" s="882"/>
    </row>
    <row r="1177" spans="1:14" s="748" customFormat="1" ht="9" customHeight="1">
      <c r="A1177" s="731"/>
      <c r="B1177" s="984"/>
      <c r="C1177" s="743"/>
      <c r="D1177" s="743"/>
      <c r="E1177" s="743"/>
      <c r="F1177" s="743"/>
      <c r="G1177" s="837"/>
      <c r="H1177" s="743"/>
      <c r="I1177" s="765"/>
      <c r="J1177" s="755"/>
      <c r="K1177" s="760"/>
      <c r="L1177" s="842"/>
      <c r="N1177" s="882"/>
    </row>
    <row r="1178" spans="1:14" s="748" customFormat="1" ht="15.75" thickBot="1">
      <c r="A1178" s="731"/>
      <c r="B1178" s="805" t="s">
        <v>769</v>
      </c>
      <c r="C1178" s="805"/>
      <c r="D1178" s="805"/>
      <c r="E1178" s="805"/>
      <c r="F1178" s="805"/>
      <c r="G1178" s="837"/>
      <c r="H1178" s="805"/>
      <c r="I1178" s="771">
        <f>SUM(I1174:I1176)</f>
        <v>32477812</v>
      </c>
      <c r="J1178" s="755"/>
      <c r="K1178" s="760"/>
      <c r="L1178" s="842"/>
      <c r="N1178" s="882"/>
    </row>
    <row r="1179" spans="5:9" ht="9" customHeight="1" thickTop="1">
      <c r="E1179" s="749"/>
      <c r="F1179" s="751"/>
      <c r="G1179" s="935"/>
      <c r="H1179" s="894"/>
      <c r="I1179" s="751"/>
    </row>
    <row r="1180" spans="1:14" s="732" customFormat="1" ht="15">
      <c r="A1180" s="731" t="s">
        <v>1587</v>
      </c>
      <c r="B1180" s="805" t="s">
        <v>46</v>
      </c>
      <c r="C1180" s="743"/>
      <c r="D1180" s="743"/>
      <c r="E1180" s="743"/>
      <c r="F1180" s="743"/>
      <c r="G1180" s="743"/>
      <c r="H1180" s="743"/>
      <c r="I1180" s="765"/>
      <c r="J1180" s="754"/>
      <c r="K1180" s="760"/>
      <c r="L1180" s="761"/>
      <c r="N1180" s="758"/>
    </row>
    <row r="1181" spans="1:12" s="748" customFormat="1" ht="9.75" customHeight="1">
      <c r="A1181" s="731"/>
      <c r="B1181" s="743"/>
      <c r="C1181" s="743"/>
      <c r="D1181" s="743"/>
      <c r="E1181" s="743"/>
      <c r="F1181" s="743"/>
      <c r="G1181" s="743"/>
      <c r="H1181" s="743"/>
      <c r="I1181" s="765"/>
      <c r="J1181" s="755"/>
      <c r="K1181" s="760"/>
      <c r="L1181" s="842"/>
    </row>
    <row r="1182" spans="1:12" s="748" customFormat="1" ht="15">
      <c r="A1182" s="731"/>
      <c r="B1182" s="805" t="s">
        <v>1352</v>
      </c>
      <c r="C1182" s="743"/>
      <c r="D1182" s="743"/>
      <c r="E1182" s="743"/>
      <c r="F1182" s="743"/>
      <c r="G1182" s="743"/>
      <c r="H1182" s="743"/>
      <c r="I1182" s="765"/>
      <c r="J1182" s="755"/>
      <c r="K1182" s="760"/>
      <c r="L1182" s="842"/>
    </row>
    <row r="1183" spans="1:12" s="748" customFormat="1" ht="9" customHeight="1">
      <c r="A1183" s="731"/>
      <c r="B1183" s="805"/>
      <c r="C1183" s="743"/>
      <c r="D1183" s="743"/>
      <c r="E1183" s="743"/>
      <c r="F1183" s="743"/>
      <c r="G1183" s="743"/>
      <c r="H1183" s="743"/>
      <c r="I1183" s="765"/>
      <c r="J1183" s="755"/>
      <c r="K1183" s="760"/>
      <c r="L1183" s="842"/>
    </row>
    <row r="1184" spans="1:12" s="732" customFormat="1" ht="14.25">
      <c r="A1184" s="799"/>
      <c r="B1184" s="743" t="s">
        <v>792</v>
      </c>
      <c r="C1184" s="743"/>
      <c r="D1184" s="743"/>
      <c r="E1184" s="743"/>
      <c r="F1184" s="743"/>
      <c r="G1184" s="743"/>
      <c r="H1184" s="743"/>
      <c r="I1184" s="765"/>
      <c r="J1184" s="754"/>
      <c r="K1184" s="933"/>
      <c r="L1184" s="761"/>
    </row>
    <row r="1185" spans="1:12" s="748" customFormat="1" ht="9" customHeight="1">
      <c r="A1185" s="731"/>
      <c r="B1185" s="743"/>
      <c r="C1185" s="743"/>
      <c r="D1185" s="743"/>
      <c r="E1185" s="743"/>
      <c r="F1185" s="743"/>
      <c r="G1185" s="743"/>
      <c r="H1185" s="743"/>
      <c r="I1185" s="765"/>
      <c r="J1185" s="755"/>
      <c r="K1185" s="760"/>
      <c r="L1185" s="842"/>
    </row>
    <row r="1186" spans="1:14" s="748" customFormat="1" ht="15">
      <c r="A1186" s="731"/>
      <c r="B1186" s="743" t="s">
        <v>791</v>
      </c>
      <c r="C1186" s="743"/>
      <c r="D1186" s="743"/>
      <c r="E1186" s="743"/>
      <c r="F1186" s="743"/>
      <c r="G1186" s="743"/>
      <c r="H1186" s="743"/>
      <c r="I1186" s="765"/>
      <c r="J1186" s="755"/>
      <c r="K1186" s="760"/>
      <c r="L1186" s="842"/>
      <c r="N1186" s="882" t="e">
        <f>-SUM(#REF!)</f>
        <v>#REF!</v>
      </c>
    </row>
    <row r="1187" spans="1:14" s="748" customFormat="1" ht="9" customHeight="1">
      <c r="A1187" s="731"/>
      <c r="B1187" s="743"/>
      <c r="C1187" s="743"/>
      <c r="D1187" s="743"/>
      <c r="E1187" s="743"/>
      <c r="F1187" s="743"/>
      <c r="G1187" s="743"/>
      <c r="H1187" s="743"/>
      <c r="I1187" s="765"/>
      <c r="J1187" s="755"/>
      <c r="K1187" s="760"/>
      <c r="L1187" s="842"/>
      <c r="N1187" s="882"/>
    </row>
    <row r="1188" spans="1:14" s="748" customFormat="1" ht="15">
      <c r="A1188" s="731"/>
      <c r="B1188" s="1274" t="s">
        <v>83</v>
      </c>
      <c r="C1188" s="1274"/>
      <c r="D1188" s="1274"/>
      <c r="E1188" s="1274"/>
      <c r="F1188" s="743"/>
      <c r="G1188" s="743"/>
      <c r="H1188" s="743"/>
      <c r="I1188" s="765"/>
      <c r="J1188" s="755"/>
      <c r="K1188" s="760"/>
      <c r="L1188" s="842"/>
      <c r="N1188" s="882"/>
    </row>
    <row r="1189" spans="1:14" s="748" customFormat="1" ht="9" customHeight="1">
      <c r="A1189" s="731"/>
      <c r="B1189" s="743"/>
      <c r="C1189" s="743"/>
      <c r="D1189" s="743"/>
      <c r="E1189" s="743"/>
      <c r="F1189" s="743"/>
      <c r="H1189" s="743"/>
      <c r="I1189" s="765"/>
      <c r="J1189" s="755"/>
      <c r="K1189" s="760"/>
      <c r="L1189" s="842"/>
      <c r="N1189" s="882"/>
    </row>
    <row r="1190" spans="1:14" s="748" customFormat="1" ht="15">
      <c r="A1190" s="731"/>
      <c r="B1190" s="805" t="s">
        <v>1353</v>
      </c>
      <c r="C1190" s="805"/>
      <c r="D1190" s="805"/>
      <c r="E1190" s="805"/>
      <c r="F1190" s="805"/>
      <c r="G1190" s="837"/>
      <c r="H1190" s="805"/>
      <c r="I1190" s="765">
        <v>1303913934</v>
      </c>
      <c r="J1190" s="755"/>
      <c r="K1190" s="760"/>
      <c r="L1190" s="842"/>
      <c r="N1190" s="882"/>
    </row>
    <row r="1191" spans="1:14" s="748" customFormat="1" ht="15">
      <c r="A1191" s="731"/>
      <c r="B1191" s="743" t="s">
        <v>782</v>
      </c>
      <c r="C1191" s="743"/>
      <c r="D1191" s="743"/>
      <c r="E1191" s="743"/>
      <c r="F1191" s="743"/>
      <c r="G1191" s="837"/>
      <c r="H1191" s="743"/>
      <c r="I1191" s="765">
        <v>-25251</v>
      </c>
      <c r="J1191" s="755"/>
      <c r="K1191" s="760"/>
      <c r="L1191" s="842"/>
      <c r="N1191" s="882"/>
    </row>
    <row r="1192" spans="1:14" s="748" customFormat="1" ht="15">
      <c r="A1192" s="731"/>
      <c r="B1192" s="743" t="s">
        <v>787</v>
      </c>
      <c r="C1192" s="743"/>
      <c r="D1192" s="743"/>
      <c r="E1192" s="743"/>
      <c r="F1192" s="743"/>
      <c r="G1192" s="837"/>
      <c r="H1192" s="743"/>
      <c r="I1192" s="765">
        <v>1480051</v>
      </c>
      <c r="J1192" s="755"/>
      <c r="K1192" s="760"/>
      <c r="L1192" s="842"/>
      <c r="N1192" s="882"/>
    </row>
    <row r="1193" spans="1:14" s="748" customFormat="1" ht="15">
      <c r="A1193" s="731"/>
      <c r="B1193" s="743" t="s">
        <v>820</v>
      </c>
      <c r="C1193" s="743"/>
      <c r="D1193" s="743"/>
      <c r="E1193" s="743"/>
      <c r="F1193" s="743"/>
      <c r="G1193" s="837"/>
      <c r="H1193" s="743"/>
      <c r="I1193" s="765">
        <v>-197790</v>
      </c>
      <c r="J1193" s="755"/>
      <c r="K1193" s="760"/>
      <c r="L1193" s="842"/>
      <c r="N1193" s="882"/>
    </row>
    <row r="1194" spans="1:14" s="748" customFormat="1" ht="15">
      <c r="A1194" s="731"/>
      <c r="B1194" s="743"/>
      <c r="C1194" s="743"/>
      <c r="D1194" s="743"/>
      <c r="E1194" s="743"/>
      <c r="F1194" s="743"/>
      <c r="G1194" s="837"/>
      <c r="H1194" s="743"/>
      <c r="I1194" s="765"/>
      <c r="J1194" s="755"/>
      <c r="K1194" s="760"/>
      <c r="L1194" s="842"/>
      <c r="N1194" s="882"/>
    </row>
    <row r="1195" spans="1:14" s="748" customFormat="1" ht="15.75" thickBot="1">
      <c r="A1195" s="731"/>
      <c r="B1195" s="805" t="s">
        <v>1354</v>
      </c>
      <c r="C1195" s="805"/>
      <c r="D1195" s="805"/>
      <c r="E1195" s="805"/>
      <c r="F1195" s="805"/>
      <c r="G1195" s="837"/>
      <c r="H1195" s="805"/>
      <c r="I1195" s="771">
        <f>SUM(I1190:I1194)</f>
        <v>1305170944</v>
      </c>
      <c r="J1195" s="755"/>
      <c r="K1195" s="760"/>
      <c r="L1195" s="842"/>
      <c r="N1195" s="882"/>
    </row>
    <row r="1196" spans="5:9" ht="9" customHeight="1" thickTop="1">
      <c r="E1196" s="749"/>
      <c r="F1196" s="751"/>
      <c r="G1196" s="894"/>
      <c r="H1196" s="894"/>
      <c r="I1196" s="751"/>
    </row>
    <row r="1197" spans="2:9" ht="14.25" customHeight="1">
      <c r="B1197" s="805" t="s">
        <v>779</v>
      </c>
      <c r="E1197" s="749"/>
      <c r="F1197" s="751"/>
      <c r="H1197" s="894"/>
      <c r="I1197" s="751"/>
    </row>
    <row r="1198" spans="5:9" ht="14.25" customHeight="1">
      <c r="E1198" s="749"/>
      <c r="F1198" s="751"/>
      <c r="G1198" s="894" t="s">
        <v>1587</v>
      </c>
      <c r="H1198" s="894"/>
      <c r="I1198" s="751"/>
    </row>
    <row r="1199" spans="2:9" ht="14.25" customHeight="1">
      <c r="B1199" s="743" t="s">
        <v>793</v>
      </c>
      <c r="E1199" s="749"/>
      <c r="F1199" s="751"/>
      <c r="G1199" s="895" t="s">
        <v>1587</v>
      </c>
      <c r="H1199" s="894"/>
      <c r="I1199" s="751"/>
    </row>
    <row r="1200" spans="5:9" ht="14.25" customHeight="1">
      <c r="E1200" s="749"/>
      <c r="F1200" s="751"/>
      <c r="G1200" s="894"/>
      <c r="H1200" s="894"/>
      <c r="I1200" s="751"/>
    </row>
    <row r="1201" spans="2:9" ht="14.25" customHeight="1">
      <c r="B1201" s="743" t="s">
        <v>791</v>
      </c>
      <c r="E1201" s="749"/>
      <c r="F1201" s="751"/>
      <c r="G1201" s="894"/>
      <c r="H1201" s="894"/>
      <c r="I1201" s="751"/>
    </row>
    <row r="1202" spans="2:9" ht="14.25" customHeight="1">
      <c r="B1202" s="743"/>
      <c r="C1202" s="743"/>
      <c r="D1202" s="743"/>
      <c r="E1202" s="743"/>
      <c r="F1202" s="751"/>
      <c r="G1202" s="894"/>
      <c r="H1202" s="894"/>
      <c r="I1202" s="751"/>
    </row>
    <row r="1203" spans="2:9" ht="14.25" customHeight="1">
      <c r="B1203" s="805" t="s">
        <v>1353</v>
      </c>
      <c r="C1203" s="743"/>
      <c r="D1203" s="743"/>
      <c r="E1203" s="743"/>
      <c r="F1203" s="751"/>
      <c r="G1203" s="894"/>
      <c r="H1203" s="894"/>
      <c r="I1203" s="751">
        <v>949149394</v>
      </c>
    </row>
    <row r="1204" spans="2:9" ht="14.25" customHeight="1">
      <c r="B1204" s="743" t="s">
        <v>787</v>
      </c>
      <c r="C1204" s="743"/>
      <c r="D1204" s="743"/>
      <c r="E1204" s="743"/>
      <c r="F1204" s="751"/>
      <c r="G1204" s="894"/>
      <c r="H1204" s="894"/>
      <c r="I1204" s="751">
        <v>273244</v>
      </c>
    </row>
    <row r="1205" spans="2:9" ht="9" customHeight="1">
      <c r="B1205" s="743"/>
      <c r="C1205" s="743"/>
      <c r="D1205" s="743"/>
      <c r="E1205" s="743"/>
      <c r="F1205" s="751"/>
      <c r="G1205" s="894"/>
      <c r="H1205" s="894"/>
      <c r="I1205" s="751"/>
    </row>
    <row r="1206" spans="2:9" ht="15.75" thickBot="1">
      <c r="B1206" s="805" t="s">
        <v>1354</v>
      </c>
      <c r="C1206" s="743"/>
      <c r="D1206" s="743"/>
      <c r="E1206" s="743"/>
      <c r="F1206" s="751"/>
      <c r="G1206" s="837" t="s">
        <v>1587</v>
      </c>
      <c r="H1206" s="805"/>
      <c r="I1206" s="771">
        <f>SUM(I1203:I1205)</f>
        <v>949422638</v>
      </c>
    </row>
    <row r="1207" spans="2:9" ht="9" customHeight="1" thickTop="1">
      <c r="B1207" s="805"/>
      <c r="C1207" s="743"/>
      <c r="D1207" s="743"/>
      <c r="E1207" s="743"/>
      <c r="F1207" s="751"/>
      <c r="G1207" s="894" t="s">
        <v>1587</v>
      </c>
      <c r="H1207" s="894"/>
      <c r="I1207" s="751"/>
    </row>
    <row r="1208" spans="1:9" ht="15">
      <c r="A1208" s="731" t="s">
        <v>1587</v>
      </c>
      <c r="B1208" s="805" t="s">
        <v>47</v>
      </c>
      <c r="E1208" s="749"/>
      <c r="F1208" s="751"/>
      <c r="H1208" s="894"/>
      <c r="I1208" s="751"/>
    </row>
    <row r="1209" spans="5:9" ht="9" customHeight="1">
      <c r="E1209" s="749"/>
      <c r="F1209" s="751"/>
      <c r="H1209" s="894"/>
      <c r="I1209" s="751"/>
    </row>
    <row r="1210" spans="2:9" ht="15">
      <c r="B1210" s="743" t="s">
        <v>791</v>
      </c>
      <c r="C1210" s="743"/>
      <c r="D1210" s="743"/>
      <c r="E1210" s="743"/>
      <c r="F1210" s="751"/>
      <c r="H1210" s="894"/>
      <c r="I1210" s="751"/>
    </row>
    <row r="1211" spans="2:9" ht="9" customHeight="1">
      <c r="B1211" s="743"/>
      <c r="C1211" s="743"/>
      <c r="D1211" s="743"/>
      <c r="E1211" s="743"/>
      <c r="F1211" s="751"/>
      <c r="H1211" s="894"/>
      <c r="I1211" s="751"/>
    </row>
    <row r="1212" spans="2:10" ht="15">
      <c r="B1212" s="805" t="s">
        <v>780</v>
      </c>
      <c r="C1212" s="743"/>
      <c r="D1212" s="743"/>
      <c r="E1212" s="743"/>
      <c r="F1212" s="751"/>
      <c r="H1212" s="894"/>
      <c r="I1212" s="1121" t="s">
        <v>957</v>
      </c>
      <c r="J1212" s="727" t="s">
        <v>97</v>
      </c>
    </row>
    <row r="1213" spans="2:9" ht="9" customHeight="1">
      <c r="B1213" s="805"/>
      <c r="C1213" s="743"/>
      <c r="D1213" s="743"/>
      <c r="E1213" s="743"/>
      <c r="F1213" s="751"/>
      <c r="H1213" s="894"/>
      <c r="I1213" s="751"/>
    </row>
    <row r="1214" spans="2:9" ht="15">
      <c r="B1214" s="743" t="s">
        <v>100</v>
      </c>
      <c r="C1214" s="743"/>
      <c r="D1214" s="743"/>
      <c r="E1214" s="743"/>
      <c r="F1214" s="751"/>
      <c r="G1214" s="894"/>
      <c r="H1214" s="894" t="s">
        <v>1587</v>
      </c>
      <c r="I1214" s="751">
        <v>1441590</v>
      </c>
    </row>
    <row r="1215" spans="3:9" ht="15">
      <c r="C1215" s="743"/>
      <c r="D1215" s="743"/>
      <c r="E1215" s="743"/>
      <c r="F1215" s="751"/>
      <c r="G1215" s="894"/>
      <c r="H1215" s="894"/>
      <c r="I1215" s="751"/>
    </row>
    <row r="1216" spans="2:9" ht="15.75" thickBot="1">
      <c r="B1216" s="805" t="s">
        <v>811</v>
      </c>
      <c r="C1216" s="743"/>
      <c r="D1216" s="743"/>
      <c r="E1216" s="743"/>
      <c r="F1216" s="751"/>
      <c r="G1216" s="837"/>
      <c r="H1216" s="805"/>
      <c r="I1216" s="771">
        <f>SUM(I1210:I1214)</f>
        <v>1441590</v>
      </c>
    </row>
    <row r="1217" spans="1:12" s="821" customFormat="1" ht="9" customHeight="1" thickTop="1">
      <c r="A1217" s="803"/>
      <c r="B1217" s="794"/>
      <c r="C1217" s="794"/>
      <c r="D1217" s="794"/>
      <c r="E1217" s="794"/>
      <c r="F1217" s="794"/>
      <c r="G1217" s="934"/>
      <c r="H1217" s="794"/>
      <c r="I1217" s="1175"/>
      <c r="K1217" s="822"/>
      <c r="L1217" s="823"/>
    </row>
    <row r="1218" spans="1:14" s="732" customFormat="1" ht="15">
      <c r="A1218" s="731" t="s">
        <v>1587</v>
      </c>
      <c r="B1218" s="805" t="s">
        <v>50</v>
      </c>
      <c r="C1218" s="743"/>
      <c r="D1218" s="743"/>
      <c r="E1218" s="743"/>
      <c r="F1218" s="743"/>
      <c r="G1218" s="743"/>
      <c r="H1218" s="743"/>
      <c r="I1218" s="765"/>
      <c r="J1218" s="754"/>
      <c r="K1218" s="760"/>
      <c r="L1218" s="761"/>
      <c r="N1218" s="758"/>
    </row>
    <row r="1219" spans="1:12" s="748" customFormat="1" ht="9.75" customHeight="1">
      <c r="A1219" s="731"/>
      <c r="B1219" s="743"/>
      <c r="C1219" s="743"/>
      <c r="D1219" s="743"/>
      <c r="E1219" s="743"/>
      <c r="F1219" s="743"/>
      <c r="G1219" s="743"/>
      <c r="H1219" s="743"/>
      <c r="I1219" s="765"/>
      <c r="J1219" s="755"/>
      <c r="K1219" s="760"/>
      <c r="L1219" s="842"/>
    </row>
    <row r="1220" spans="1:12" s="748" customFormat="1" ht="15">
      <c r="A1220" s="731"/>
      <c r="B1220" s="805" t="s">
        <v>770</v>
      </c>
      <c r="C1220" s="743"/>
      <c r="D1220" s="743"/>
      <c r="E1220" s="743"/>
      <c r="F1220" s="743"/>
      <c r="G1220" s="743"/>
      <c r="H1220" s="743"/>
      <c r="I1220" s="765"/>
      <c r="J1220" s="755"/>
      <c r="K1220" s="760"/>
      <c r="L1220" s="842"/>
    </row>
    <row r="1221" spans="1:12" s="748" customFormat="1" ht="9" customHeight="1">
      <c r="A1221" s="731"/>
      <c r="B1221" s="743"/>
      <c r="C1221" s="743"/>
      <c r="D1221" s="743"/>
      <c r="E1221" s="743"/>
      <c r="F1221" s="743"/>
      <c r="G1221" s="743"/>
      <c r="H1221" s="743"/>
      <c r="I1221" s="765"/>
      <c r="J1221" s="755"/>
      <c r="K1221" s="760"/>
      <c r="L1221" s="842"/>
    </row>
    <row r="1222" spans="1:12" s="748" customFormat="1" ht="15">
      <c r="A1222" s="731"/>
      <c r="B1222" s="743" t="s">
        <v>64</v>
      </c>
      <c r="C1222" s="743"/>
      <c r="D1222" s="743"/>
      <c r="E1222" s="743"/>
      <c r="F1222" s="743"/>
      <c r="G1222" s="743"/>
      <c r="H1222" s="743"/>
      <c r="I1222" s="765"/>
      <c r="J1222" s="755"/>
      <c r="K1222" s="760"/>
      <c r="L1222" s="842"/>
    </row>
    <row r="1223" spans="1:12" s="748" customFormat="1" ht="15">
      <c r="A1223" s="731"/>
      <c r="B1223" s="743"/>
      <c r="C1223" s="743"/>
      <c r="D1223" s="743"/>
      <c r="E1223" s="743"/>
      <c r="F1223" s="743"/>
      <c r="G1223" s="743"/>
      <c r="H1223" s="743"/>
      <c r="I1223" s="765"/>
      <c r="J1223" s="755"/>
      <c r="K1223" s="760"/>
      <c r="L1223" s="842"/>
    </row>
    <row r="1224" spans="1:14" s="748" customFormat="1" ht="15">
      <c r="A1224" s="731"/>
      <c r="B1224" s="805" t="s">
        <v>935</v>
      </c>
      <c r="C1224" s="805"/>
      <c r="D1224" s="805"/>
      <c r="E1224" s="805"/>
      <c r="F1224" s="805"/>
      <c r="G1224" s="837"/>
      <c r="H1224" s="805"/>
      <c r="I1224" s="765">
        <f>83449252+2412100</f>
        <v>85861352</v>
      </c>
      <c r="J1224" s="755"/>
      <c r="K1224" s="760"/>
      <c r="L1224" s="842"/>
      <c r="N1224" s="882"/>
    </row>
    <row r="1225" spans="1:14" s="748" customFormat="1" ht="15">
      <c r="A1225" s="731"/>
      <c r="B1225" s="743"/>
      <c r="C1225" s="743"/>
      <c r="D1225" s="743"/>
      <c r="E1225" s="743"/>
      <c r="F1225" s="743"/>
      <c r="G1225" s="837"/>
      <c r="H1225" s="743"/>
      <c r="I1225" s="765"/>
      <c r="J1225" s="755"/>
      <c r="K1225" s="760"/>
      <c r="L1225" s="842"/>
      <c r="N1225" s="882"/>
    </row>
    <row r="1226" spans="1:14" s="748" customFormat="1" ht="15">
      <c r="A1226" s="731"/>
      <c r="B1226" s="743" t="s">
        <v>129</v>
      </c>
      <c r="C1226" s="743"/>
      <c r="D1226" s="743"/>
      <c r="E1226" s="743"/>
      <c r="F1226" s="743"/>
      <c r="G1226" s="837"/>
      <c r="H1226" s="743"/>
      <c r="I1226" s="765">
        <v>30775</v>
      </c>
      <c r="J1226" s="755"/>
      <c r="K1226" s="760"/>
      <c r="L1226" s="842"/>
      <c r="N1226" s="882"/>
    </row>
    <row r="1227" spans="1:14" s="748" customFormat="1" ht="9" customHeight="1">
      <c r="A1227" s="731"/>
      <c r="B1227" s="743"/>
      <c r="C1227" s="743"/>
      <c r="D1227" s="743"/>
      <c r="E1227" s="743"/>
      <c r="F1227" s="743"/>
      <c r="G1227" s="837"/>
      <c r="H1227" s="743"/>
      <c r="I1227" s="765"/>
      <c r="J1227" s="755"/>
      <c r="K1227" s="760"/>
      <c r="L1227" s="842"/>
      <c r="N1227" s="882"/>
    </row>
    <row r="1228" spans="1:14" s="748" customFormat="1" ht="15.75" thickBot="1">
      <c r="A1228" s="731"/>
      <c r="B1228" s="805" t="s">
        <v>936</v>
      </c>
      <c r="C1228" s="805"/>
      <c r="D1228" s="805"/>
      <c r="E1228" s="805"/>
      <c r="F1228" s="805"/>
      <c r="G1228" s="837"/>
      <c r="H1228" s="805"/>
      <c r="I1228" s="771">
        <f>SUM(I1224:I1227)</f>
        <v>85892127</v>
      </c>
      <c r="J1228" s="755"/>
      <c r="K1228" s="760"/>
      <c r="L1228" s="842"/>
      <c r="N1228" s="882"/>
    </row>
    <row r="1229" spans="1:14" s="748" customFormat="1" ht="9" customHeight="1" thickTop="1">
      <c r="A1229" s="731"/>
      <c r="B1229" s="805"/>
      <c r="C1229" s="805"/>
      <c r="D1229" s="805"/>
      <c r="E1229" s="805"/>
      <c r="F1229" s="805"/>
      <c r="G1229" s="805"/>
      <c r="H1229" s="805"/>
      <c r="I1229" s="765"/>
      <c r="J1229" s="755"/>
      <c r="K1229" s="760"/>
      <c r="L1229" s="842"/>
      <c r="N1229" s="882"/>
    </row>
    <row r="1230" spans="1:14" s="748" customFormat="1" ht="15">
      <c r="A1230" s="731" t="s">
        <v>1587</v>
      </c>
      <c r="B1230" s="805" t="s">
        <v>51</v>
      </c>
      <c r="C1230" s="743"/>
      <c r="D1230" s="743"/>
      <c r="E1230" s="743"/>
      <c r="F1230" s="743"/>
      <c r="G1230" s="743"/>
      <c r="H1230" s="743"/>
      <c r="I1230" s="765"/>
      <c r="J1230" s="755"/>
      <c r="K1230" s="760"/>
      <c r="L1230" s="842"/>
      <c r="N1230" s="882"/>
    </row>
    <row r="1231" spans="1:14" s="748" customFormat="1" ht="9" customHeight="1">
      <c r="A1231" s="731"/>
      <c r="B1231" s="743"/>
      <c r="C1231" s="743"/>
      <c r="D1231" s="743"/>
      <c r="E1231" s="743"/>
      <c r="F1231" s="743"/>
      <c r="G1231" s="743"/>
      <c r="H1231" s="743"/>
      <c r="I1231" s="765"/>
      <c r="J1231" s="755"/>
      <c r="K1231" s="760"/>
      <c r="L1231" s="842"/>
      <c r="N1231" s="882"/>
    </row>
    <row r="1232" spans="1:14" s="748" customFormat="1" ht="97.5" customHeight="1">
      <c r="A1232" s="731"/>
      <c r="B1232" s="1274" t="s">
        <v>794</v>
      </c>
      <c r="C1232" s="1274"/>
      <c r="D1232" s="1274"/>
      <c r="E1232" s="1274"/>
      <c r="F1232" s="743"/>
      <c r="G1232" s="743"/>
      <c r="H1232" s="743"/>
      <c r="I1232" s="765"/>
      <c r="J1232" s="755"/>
      <c r="K1232" s="760"/>
      <c r="L1232" s="842"/>
      <c r="N1232" s="882"/>
    </row>
    <row r="1233" spans="1:14" s="748" customFormat="1" ht="15">
      <c r="A1233" s="731"/>
      <c r="B1233" s="774"/>
      <c r="C1233" s="774"/>
      <c r="D1233" s="774"/>
      <c r="E1233" s="774"/>
      <c r="F1233" s="743"/>
      <c r="G1233" s="743"/>
      <c r="H1233" s="743"/>
      <c r="I1233" s="765"/>
      <c r="J1233" s="755"/>
      <c r="K1233" s="760"/>
      <c r="L1233" s="842"/>
      <c r="N1233" s="882"/>
    </row>
    <row r="1234" spans="1:14" s="748" customFormat="1" ht="15">
      <c r="A1234" s="731"/>
      <c r="B1234" s="805" t="s">
        <v>796</v>
      </c>
      <c r="C1234" s="743"/>
      <c r="D1234" s="743"/>
      <c r="E1234" s="743"/>
      <c r="F1234" s="743"/>
      <c r="G1234" s="743"/>
      <c r="H1234" s="743"/>
      <c r="I1234" s="765">
        <v>53606654</v>
      </c>
      <c r="J1234" s="755"/>
      <c r="K1234" s="760"/>
      <c r="L1234" s="842"/>
      <c r="N1234" s="882"/>
    </row>
    <row r="1235" spans="1:14" s="748" customFormat="1" ht="9" customHeight="1">
      <c r="A1235" s="731"/>
      <c r="B1235" s="743"/>
      <c r="C1235" s="743"/>
      <c r="D1235" s="743"/>
      <c r="E1235" s="743"/>
      <c r="F1235" s="743"/>
      <c r="G1235" s="743"/>
      <c r="H1235" s="743"/>
      <c r="I1235" s="765"/>
      <c r="J1235" s="755"/>
      <c r="K1235" s="760"/>
      <c r="L1235" s="842"/>
      <c r="N1235" s="882"/>
    </row>
    <row r="1236" spans="1:14" s="748" customFormat="1" ht="15">
      <c r="A1236" s="731"/>
      <c r="B1236" s="743" t="s">
        <v>795</v>
      </c>
      <c r="C1236" s="805"/>
      <c r="D1236" s="805"/>
      <c r="E1236" s="805"/>
      <c r="F1236" s="805"/>
      <c r="G1236" s="742"/>
      <c r="H1236" s="805"/>
      <c r="I1236" s="765">
        <v>-3176522</v>
      </c>
      <c r="J1236" s="755"/>
      <c r="K1236" s="760"/>
      <c r="L1236" s="842"/>
      <c r="N1236" s="882"/>
    </row>
    <row r="1237" spans="1:14" s="748" customFormat="1" ht="9" customHeight="1">
      <c r="A1237" s="731"/>
      <c r="B1237" s="743"/>
      <c r="C1237" s="805"/>
      <c r="D1237" s="805"/>
      <c r="E1237" s="805"/>
      <c r="F1237" s="805"/>
      <c r="G1237" s="742"/>
      <c r="H1237" s="805"/>
      <c r="I1237" s="765"/>
      <c r="J1237" s="755"/>
      <c r="K1237" s="760"/>
      <c r="L1237" s="842"/>
      <c r="N1237" s="882"/>
    </row>
    <row r="1238" spans="1:14" s="748" customFormat="1" ht="15.75" thickBot="1">
      <c r="A1238" s="731"/>
      <c r="B1238" s="805" t="s">
        <v>65</v>
      </c>
      <c r="C1238" s="805"/>
      <c r="D1238" s="805"/>
      <c r="E1238" s="805"/>
      <c r="F1238" s="805"/>
      <c r="G1238" s="742"/>
      <c r="H1238" s="805"/>
      <c r="I1238" s="771">
        <f>SUM(I1234:I1236)</f>
        <v>50430132</v>
      </c>
      <c r="J1238" s="755"/>
      <c r="K1238" s="760"/>
      <c r="L1238" s="842"/>
      <c r="N1238" s="882"/>
    </row>
    <row r="1239" spans="1:14" s="748" customFormat="1" ht="9" customHeight="1" thickTop="1">
      <c r="A1239" s="731"/>
      <c r="B1239" s="743"/>
      <c r="C1239" s="743"/>
      <c r="D1239" s="743"/>
      <c r="E1239" s="743"/>
      <c r="F1239" s="743"/>
      <c r="G1239" s="837"/>
      <c r="H1239" s="743"/>
      <c r="I1239" s="765"/>
      <c r="J1239" s="755"/>
      <c r="K1239" s="760"/>
      <c r="L1239" s="842"/>
      <c r="N1239" s="882"/>
    </row>
    <row r="1240" spans="1:14" s="748" customFormat="1" ht="15">
      <c r="A1240" s="731" t="s">
        <v>1587</v>
      </c>
      <c r="B1240" s="805" t="s">
        <v>52</v>
      </c>
      <c r="C1240" s="743"/>
      <c r="D1240" s="743"/>
      <c r="E1240" s="743"/>
      <c r="F1240" s="743"/>
      <c r="G1240" s="743"/>
      <c r="H1240" s="743"/>
      <c r="I1240" s="765"/>
      <c r="J1240" s="755"/>
      <c r="K1240" s="760"/>
      <c r="L1240" s="842"/>
      <c r="N1240" s="882"/>
    </row>
    <row r="1241" spans="1:14" s="748" customFormat="1" ht="15">
      <c r="A1241" s="731"/>
      <c r="B1241" s="743"/>
      <c r="C1241" s="743"/>
      <c r="D1241" s="743"/>
      <c r="E1241" s="743"/>
      <c r="F1241" s="743"/>
      <c r="G1241" s="743"/>
      <c r="H1241" s="743"/>
      <c r="I1241" s="765"/>
      <c r="J1241" s="755"/>
      <c r="K1241" s="760"/>
      <c r="L1241" s="842"/>
      <c r="N1241" s="882"/>
    </row>
    <row r="1242" spans="1:14" s="748" customFormat="1" ht="15">
      <c r="A1242" s="731"/>
      <c r="B1242" s="1274" t="s">
        <v>83</v>
      </c>
      <c r="C1242" s="1274"/>
      <c r="D1242" s="1274"/>
      <c r="E1242" s="1274"/>
      <c r="F1242" s="743"/>
      <c r="G1242" s="743"/>
      <c r="H1242" s="743"/>
      <c r="I1242" s="765"/>
      <c r="J1242" s="755"/>
      <c r="K1242" s="760"/>
      <c r="L1242" s="842"/>
      <c r="N1242" s="882"/>
    </row>
    <row r="1243" spans="1:14" s="748" customFormat="1" ht="15">
      <c r="A1243" s="731"/>
      <c r="B1243" s="774"/>
      <c r="C1243" s="774"/>
      <c r="D1243" s="774"/>
      <c r="E1243" s="774"/>
      <c r="F1243" s="743"/>
      <c r="G1243" s="743"/>
      <c r="H1243" s="743"/>
      <c r="I1243" s="765"/>
      <c r="J1243" s="755"/>
      <c r="K1243" s="760"/>
      <c r="L1243" s="842"/>
      <c r="N1243" s="882"/>
    </row>
    <row r="1244" spans="1:14" s="748" customFormat="1" ht="15">
      <c r="A1244" s="731"/>
      <c r="B1244" s="805" t="s">
        <v>53</v>
      </c>
      <c r="C1244" s="743"/>
      <c r="D1244" s="743"/>
      <c r="E1244" s="743"/>
      <c r="F1244" s="743"/>
      <c r="G1244" s="743"/>
      <c r="H1244" s="743"/>
      <c r="I1244" s="765">
        <v>2971517</v>
      </c>
      <c r="J1244" s="755"/>
      <c r="K1244" s="760"/>
      <c r="L1244" s="842"/>
      <c r="N1244" s="882"/>
    </row>
    <row r="1245" spans="1:14" s="748" customFormat="1" ht="15">
      <c r="A1245" s="731"/>
      <c r="B1245" s="743"/>
      <c r="C1245" s="743"/>
      <c r="D1245" s="743"/>
      <c r="E1245" s="743"/>
      <c r="F1245" s="743"/>
      <c r="G1245" s="743"/>
      <c r="H1245" s="743"/>
      <c r="I1245" s="765"/>
      <c r="J1245" s="755"/>
      <c r="K1245" s="760"/>
      <c r="L1245" s="842"/>
      <c r="N1245" s="882"/>
    </row>
    <row r="1246" spans="1:14" s="748" customFormat="1" ht="15">
      <c r="A1246" s="731"/>
      <c r="B1246" s="743" t="s">
        <v>130</v>
      </c>
      <c r="C1246" s="805"/>
      <c r="D1246" s="805"/>
      <c r="E1246" s="805"/>
      <c r="F1246" s="805"/>
      <c r="G1246" s="742"/>
      <c r="H1246" s="805"/>
      <c r="I1246" s="765">
        <v>197790</v>
      </c>
      <c r="J1246" s="755"/>
      <c r="K1246" s="760"/>
      <c r="L1246" s="842"/>
      <c r="N1246" s="882"/>
    </row>
    <row r="1247" spans="1:14" s="748" customFormat="1" ht="9" customHeight="1">
      <c r="A1247" s="731"/>
      <c r="B1247" s="743"/>
      <c r="C1247" s="743"/>
      <c r="D1247" s="743"/>
      <c r="E1247" s="743"/>
      <c r="F1247" s="743"/>
      <c r="G1247" s="837"/>
      <c r="H1247" s="743"/>
      <c r="I1247" s="765"/>
      <c r="J1247" s="755"/>
      <c r="K1247" s="760"/>
      <c r="L1247" s="842"/>
      <c r="N1247" s="882"/>
    </row>
    <row r="1248" spans="1:14" s="748" customFormat="1" ht="15.75" thickBot="1">
      <c r="A1248" s="731"/>
      <c r="B1248" s="805" t="s">
        <v>1043</v>
      </c>
      <c r="C1248" s="805"/>
      <c r="D1248" s="805"/>
      <c r="E1248" s="805"/>
      <c r="F1248" s="805"/>
      <c r="G1248" s="837"/>
      <c r="H1248" s="805"/>
      <c r="I1248" s="771">
        <f>SUM(I1244:I1246)</f>
        <v>3169307</v>
      </c>
      <c r="J1248" s="755"/>
      <c r="K1248" s="760"/>
      <c r="L1248" s="842"/>
      <c r="N1248" s="882"/>
    </row>
    <row r="1249" spans="1:14" s="748" customFormat="1" ht="7.5" customHeight="1" thickTop="1">
      <c r="A1249" s="731"/>
      <c r="B1249" s="805"/>
      <c r="C1249" s="805"/>
      <c r="D1249" s="805"/>
      <c r="E1249" s="805"/>
      <c r="F1249" s="805"/>
      <c r="G1249" s="837"/>
      <c r="H1249" s="805"/>
      <c r="I1249" s="765"/>
      <c r="J1249" s="755"/>
      <c r="K1249" s="760"/>
      <c r="L1249" s="842"/>
      <c r="N1249" s="882"/>
    </row>
    <row r="1250" spans="1:12" s="732" customFormat="1" ht="15.75" customHeight="1">
      <c r="A1250" s="731" t="s">
        <v>1587</v>
      </c>
      <c r="B1250" s="890" t="s">
        <v>48</v>
      </c>
      <c r="C1250" s="889"/>
      <c r="D1250" s="889"/>
      <c r="E1250" s="889"/>
      <c r="F1250" s="889"/>
      <c r="G1250" s="891"/>
      <c r="H1250" s="891"/>
      <c r="I1250" s="829"/>
      <c r="J1250" s="754"/>
      <c r="K1250" s="760"/>
      <c r="L1250" s="761"/>
    </row>
    <row r="1251" spans="1:12" s="732" customFormat="1" ht="15.75" customHeight="1">
      <c r="A1251" s="799"/>
      <c r="B1251" s="889"/>
      <c r="C1251" s="889"/>
      <c r="D1251" s="889"/>
      <c r="E1251" s="889"/>
      <c r="F1251" s="889"/>
      <c r="G1251" s="891"/>
      <c r="H1251" s="891"/>
      <c r="I1251" s="829"/>
      <c r="J1251" s="754"/>
      <c r="K1251" s="760"/>
      <c r="L1251" s="761"/>
    </row>
    <row r="1252" spans="1:12" s="732" customFormat="1" ht="15.75" customHeight="1">
      <c r="A1252" s="799"/>
      <c r="B1252" s="1277" t="s">
        <v>429</v>
      </c>
      <c r="C1252" s="1277"/>
      <c r="D1252" s="1277"/>
      <c r="E1252" s="1283"/>
      <c r="F1252" s="889"/>
      <c r="G1252" s="891"/>
      <c r="H1252" s="891"/>
      <c r="I1252" s="829"/>
      <c r="J1252" s="754"/>
      <c r="K1252" s="760"/>
      <c r="L1252" s="761"/>
    </row>
    <row r="1253" spans="1:12" s="732" customFormat="1" ht="15.75" customHeight="1">
      <c r="A1253" s="799"/>
      <c r="B1253" s="889"/>
      <c r="C1253" s="889"/>
      <c r="D1253" s="889"/>
      <c r="E1253" s="889"/>
      <c r="F1253" s="889"/>
      <c r="G1253" s="891"/>
      <c r="H1253" s="891"/>
      <c r="I1253" s="829"/>
      <c r="J1253" s="754"/>
      <c r="K1253" s="760"/>
      <c r="L1253" s="761"/>
    </row>
    <row r="1254" spans="1:12" s="732" customFormat="1" ht="15.75" customHeight="1">
      <c r="A1254" s="799"/>
      <c r="B1254" s="890" t="s">
        <v>412</v>
      </c>
      <c r="C1254" s="889"/>
      <c r="D1254" s="889"/>
      <c r="E1254" s="889"/>
      <c r="F1254" s="889"/>
      <c r="G1254" s="891"/>
      <c r="H1254" s="891"/>
      <c r="I1254" s="829"/>
      <c r="J1254" s="754"/>
      <c r="K1254" s="760"/>
      <c r="L1254" s="761"/>
    </row>
    <row r="1255" spans="1:12" s="732" customFormat="1" ht="15.75" customHeight="1">
      <c r="A1255" s="799"/>
      <c r="B1255" s="890"/>
      <c r="C1255" s="889"/>
      <c r="D1255" s="889"/>
      <c r="E1255" s="889"/>
      <c r="F1255" s="889"/>
      <c r="G1255" s="891"/>
      <c r="H1255" s="891"/>
      <c r="I1255" s="829"/>
      <c r="J1255" s="754"/>
      <c r="K1255" s="760"/>
      <c r="L1255" s="761"/>
    </row>
    <row r="1256" spans="1:12" s="732" customFormat="1" ht="15.75" customHeight="1">
      <c r="A1256" s="799"/>
      <c r="B1256" s="890"/>
      <c r="C1256" s="889"/>
      <c r="D1256" s="889"/>
      <c r="E1256" s="889"/>
      <c r="F1256" s="889"/>
      <c r="G1256" s="891"/>
      <c r="H1256" s="891"/>
      <c r="I1256" s="829"/>
      <c r="J1256" s="754"/>
      <c r="K1256" s="760"/>
      <c r="L1256" s="761"/>
    </row>
    <row r="1257" spans="1:12" s="732" customFormat="1" ht="15.75" customHeight="1">
      <c r="A1257" s="799"/>
      <c r="B1257" s="890"/>
      <c r="C1257" s="889"/>
      <c r="D1257" s="889"/>
      <c r="E1257" s="889"/>
      <c r="F1257" s="889"/>
      <c r="G1257" s="891"/>
      <c r="H1257" s="891"/>
      <c r="I1257" s="829"/>
      <c r="J1257" s="754"/>
      <c r="K1257" s="760"/>
      <c r="L1257" s="761"/>
    </row>
    <row r="1258" spans="1:12" s="732" customFormat="1" ht="15.75" customHeight="1">
      <c r="A1258" s="799"/>
      <c r="B1258" s="890"/>
      <c r="C1258" s="889"/>
      <c r="D1258" s="889"/>
      <c r="E1258" s="889"/>
      <c r="F1258" s="889"/>
      <c r="G1258" s="891"/>
      <c r="H1258" s="891"/>
      <c r="I1258" s="829"/>
      <c r="J1258" s="754"/>
      <c r="K1258" s="760"/>
      <c r="L1258" s="761"/>
    </row>
    <row r="1259" spans="1:12" s="821" customFormat="1" ht="15">
      <c r="A1259" s="1271" t="s">
        <v>945</v>
      </c>
      <c r="B1259" s="1271"/>
      <c r="C1259" s="1271"/>
      <c r="D1259" s="1271"/>
      <c r="E1259" s="1271"/>
      <c r="F1259" s="1271"/>
      <c r="G1259" s="1271"/>
      <c r="H1259" s="1271"/>
      <c r="I1259" s="1271"/>
      <c r="K1259" s="822"/>
      <c r="L1259" s="823"/>
    </row>
    <row r="1260" spans="1:12" s="821" customFormat="1" ht="15">
      <c r="A1260" s="794"/>
      <c r="B1260" s="794"/>
      <c r="C1260" s="794"/>
      <c r="D1260" s="794"/>
      <c r="E1260" s="794"/>
      <c r="F1260" s="794"/>
      <c r="G1260" s="794"/>
      <c r="H1260" s="794"/>
      <c r="I1260" s="794"/>
      <c r="K1260" s="822"/>
      <c r="L1260" s="823"/>
    </row>
    <row r="1261" spans="1:12" s="732" customFormat="1" ht="15.75" customHeight="1">
      <c r="A1261" s="799"/>
      <c r="B1261" s="890" t="s">
        <v>428</v>
      </c>
      <c r="C1261" s="889"/>
      <c r="D1261" s="889"/>
      <c r="E1261" s="889"/>
      <c r="F1261" s="889"/>
      <c r="G1261" s="891"/>
      <c r="H1261" s="891"/>
      <c r="I1261" s="829"/>
      <c r="J1261" s="754"/>
      <c r="K1261" s="760"/>
      <c r="L1261" s="761"/>
    </row>
    <row r="1262" spans="1:12" s="732" customFormat="1" ht="15.75" customHeight="1">
      <c r="A1262" s="799"/>
      <c r="B1262" s="889"/>
      <c r="C1262" s="889"/>
      <c r="D1262" s="889"/>
      <c r="E1262" s="889"/>
      <c r="F1262" s="889"/>
      <c r="G1262" s="891"/>
      <c r="H1262" s="891"/>
      <c r="I1262" s="829"/>
      <c r="J1262" s="754"/>
      <c r="K1262" s="760"/>
      <c r="L1262" s="761"/>
    </row>
    <row r="1263" spans="1:12" s="732" customFormat="1" ht="15.75" customHeight="1">
      <c r="A1263" s="799"/>
      <c r="B1263" s="1277" t="s">
        <v>429</v>
      </c>
      <c r="C1263" s="1277"/>
      <c r="D1263" s="1277"/>
      <c r="E1263" s="1283"/>
      <c r="F1263" s="889"/>
      <c r="G1263" s="891"/>
      <c r="H1263" s="891"/>
      <c r="I1263" s="829"/>
      <c r="J1263" s="754"/>
      <c r="K1263" s="760"/>
      <c r="L1263" s="761"/>
    </row>
    <row r="1264" spans="1:12" s="732" customFormat="1" ht="15.75" customHeight="1">
      <c r="A1264" s="799"/>
      <c r="B1264" s="889"/>
      <c r="C1264" s="889"/>
      <c r="D1264" s="889"/>
      <c r="E1264" s="889"/>
      <c r="F1264" s="889"/>
      <c r="G1264" s="891"/>
      <c r="H1264" s="891"/>
      <c r="I1264" s="829"/>
      <c r="J1264" s="754"/>
      <c r="K1264" s="760"/>
      <c r="L1264" s="761"/>
    </row>
    <row r="1265" spans="1:12" s="732" customFormat="1" ht="15.75" customHeight="1">
      <c r="A1265" s="799"/>
      <c r="B1265" s="890" t="s">
        <v>412</v>
      </c>
      <c r="C1265" s="889"/>
      <c r="D1265" s="889"/>
      <c r="E1265" s="889"/>
      <c r="F1265" s="889"/>
      <c r="G1265" s="891"/>
      <c r="H1265" s="891"/>
      <c r="I1265" s="829"/>
      <c r="J1265" s="754"/>
      <c r="K1265" s="760"/>
      <c r="L1265" s="761"/>
    </row>
    <row r="1266" spans="1:12" s="732" customFormat="1" ht="15.75" customHeight="1">
      <c r="A1266" s="799"/>
      <c r="B1266" s="889"/>
      <c r="C1266" s="889"/>
      <c r="D1266" s="889"/>
      <c r="E1266" s="889"/>
      <c r="F1266" s="889"/>
      <c r="G1266" s="891"/>
      <c r="H1266" s="891"/>
      <c r="I1266" s="829"/>
      <c r="J1266" s="754"/>
      <c r="K1266" s="760"/>
      <c r="L1266" s="761"/>
    </row>
    <row r="1267" spans="1:12" s="732" customFormat="1" ht="15.75" customHeight="1">
      <c r="A1267" s="799"/>
      <c r="B1267" s="1254" t="s">
        <v>674</v>
      </c>
      <c r="C1267" s="1254"/>
      <c r="D1267" s="1254"/>
      <c r="E1267" s="1254"/>
      <c r="F1267" s="890"/>
      <c r="G1267" s="897"/>
      <c r="H1267" s="898"/>
      <c r="I1267" s="849">
        <f>33845535</f>
        <v>33845535</v>
      </c>
      <c r="J1267" s="754"/>
      <c r="K1267" s="760"/>
      <c r="L1267" s="761"/>
    </row>
    <row r="1268" spans="1:12" s="732" customFormat="1" ht="9.75" customHeight="1">
      <c r="A1268" s="799"/>
      <c r="B1268" s="889"/>
      <c r="C1268" s="889"/>
      <c r="D1268" s="889"/>
      <c r="E1268" s="889"/>
      <c r="F1268" s="889"/>
      <c r="G1268" s="891"/>
      <c r="H1268" s="891"/>
      <c r="I1268" s="829"/>
      <c r="J1268" s="754"/>
      <c r="K1268" s="760"/>
      <c r="L1268" s="761"/>
    </row>
    <row r="1269" spans="1:12" s="732" customFormat="1" ht="15">
      <c r="A1269" s="799"/>
      <c r="B1269" s="889" t="s">
        <v>1343</v>
      </c>
      <c r="C1269" s="889"/>
      <c r="D1269" s="889"/>
      <c r="E1269" s="889"/>
      <c r="F1269" s="889"/>
      <c r="G1269" s="829"/>
      <c r="H1269" s="891"/>
      <c r="I1269" s="829">
        <f>SUM(I1271:I1278)</f>
        <v>2131428</v>
      </c>
      <c r="J1269" s="754"/>
      <c r="K1269" s="760"/>
      <c r="L1269" s="761"/>
    </row>
    <row r="1270" spans="1:12" s="732" customFormat="1" ht="9" customHeight="1">
      <c r="A1270" s="799"/>
      <c r="B1270" s="889"/>
      <c r="C1270" s="889"/>
      <c r="D1270" s="889"/>
      <c r="E1270" s="889"/>
      <c r="F1270" s="889"/>
      <c r="G1270" s="891"/>
      <c r="H1270" s="891"/>
      <c r="I1270" s="829"/>
      <c r="J1270" s="754"/>
      <c r="K1270" s="760"/>
      <c r="L1270" s="761"/>
    </row>
    <row r="1271" spans="1:12" s="732" customFormat="1" ht="16.5" customHeight="1">
      <c r="A1271" s="799"/>
      <c r="B1271" s="889" t="s">
        <v>425</v>
      </c>
      <c r="C1271" s="889"/>
      <c r="D1271" s="889"/>
      <c r="E1271" s="889"/>
      <c r="F1271" s="889"/>
      <c r="G1271" s="891"/>
      <c r="H1271" s="891"/>
      <c r="I1271" s="896">
        <f>8107558+93868</f>
        <v>8201426</v>
      </c>
      <c r="J1271" s="754"/>
      <c r="K1271" s="760"/>
      <c r="L1271" s="761"/>
    </row>
    <row r="1272" spans="1:12" s="732" customFormat="1" ht="16.5" customHeight="1">
      <c r="A1272" s="799"/>
      <c r="B1272" s="889" t="s">
        <v>426</v>
      </c>
      <c r="C1272" s="889"/>
      <c r="D1272" s="889"/>
      <c r="E1272" s="889"/>
      <c r="F1272" s="889"/>
      <c r="G1272" s="891"/>
      <c r="H1272" s="891"/>
      <c r="I1272" s="899">
        <f>-9464938</f>
        <v>-9464938</v>
      </c>
      <c r="J1272" s="754"/>
      <c r="K1272" s="760"/>
      <c r="L1272" s="761"/>
    </row>
    <row r="1273" spans="1:12" s="732" customFormat="1" ht="16.5" customHeight="1">
      <c r="A1273" s="799"/>
      <c r="B1273" s="889" t="s">
        <v>427</v>
      </c>
      <c r="C1273" s="889"/>
      <c r="D1273" s="889"/>
      <c r="E1273" s="889"/>
      <c r="F1273" s="889"/>
      <c r="G1273" s="891"/>
      <c r="H1273" s="891"/>
      <c r="I1273" s="899">
        <f>689</f>
        <v>689</v>
      </c>
      <c r="J1273" s="754"/>
      <c r="K1273" s="760"/>
      <c r="L1273" s="761"/>
    </row>
    <row r="1274" spans="1:12" s="732" customFormat="1" ht="16.5" customHeight="1">
      <c r="A1274" s="799"/>
      <c r="B1274" s="889" t="s">
        <v>430</v>
      </c>
      <c r="C1274" s="889"/>
      <c r="D1274" s="889"/>
      <c r="E1274" s="889"/>
      <c r="F1274" s="889"/>
      <c r="G1274" s="891"/>
      <c r="H1274" s="891"/>
      <c r="I1274" s="899">
        <f>2412100</f>
        <v>2412100</v>
      </c>
      <c r="J1274" s="754"/>
      <c r="K1274" s="760"/>
      <c r="L1274" s="761"/>
    </row>
    <row r="1275" spans="1:12" s="732" customFormat="1" ht="16.5" customHeight="1">
      <c r="A1275" s="799"/>
      <c r="B1275" s="889" t="s">
        <v>18</v>
      </c>
      <c r="C1275" s="889"/>
      <c r="D1275" s="889"/>
      <c r="E1275" s="889"/>
      <c r="F1275" s="889"/>
      <c r="G1275" s="891"/>
      <c r="H1275" s="891"/>
      <c r="I1275" s="899">
        <f>378561</f>
        <v>378561</v>
      </c>
      <c r="J1275" s="754"/>
      <c r="K1275" s="760"/>
      <c r="L1275" s="761"/>
    </row>
    <row r="1276" spans="1:12" s="732" customFormat="1" ht="16.5" customHeight="1">
      <c r="A1276" s="799"/>
      <c r="B1276" s="889" t="s">
        <v>19</v>
      </c>
      <c r="C1276" s="889"/>
      <c r="D1276" s="889"/>
      <c r="E1276" s="889"/>
      <c r="F1276" s="889"/>
      <c r="G1276" s="891"/>
      <c r="H1276" s="891"/>
      <c r="I1276" s="899">
        <v>-444057</v>
      </c>
      <c r="J1276" s="754"/>
      <c r="K1276" s="760"/>
      <c r="L1276" s="761"/>
    </row>
    <row r="1277" spans="1:12" s="732" customFormat="1" ht="16.5" customHeight="1">
      <c r="A1277" s="799"/>
      <c r="B1277" s="889" t="s">
        <v>120</v>
      </c>
      <c r="C1277" s="889"/>
      <c r="D1277" s="889"/>
      <c r="E1277" s="889"/>
      <c r="F1277" s="889"/>
      <c r="G1277" s="891"/>
      <c r="H1277" s="891"/>
      <c r="I1277" s="899">
        <v>-309044</v>
      </c>
      <c r="J1277" s="754"/>
      <c r="K1277" s="760"/>
      <c r="L1277" s="761"/>
    </row>
    <row r="1278" spans="1:12" s="732" customFormat="1" ht="16.5" customHeight="1">
      <c r="A1278" s="799"/>
      <c r="B1278" s="889" t="s">
        <v>1346</v>
      </c>
      <c r="C1278" s="889"/>
      <c r="D1278" s="889"/>
      <c r="E1278" s="889"/>
      <c r="F1278" s="889"/>
      <c r="G1278" s="829"/>
      <c r="H1278" s="891"/>
      <c r="I1278" s="900">
        <f>1355688+1003</f>
        <v>1356691</v>
      </c>
      <c r="J1278" s="754"/>
      <c r="K1278" s="760"/>
      <c r="L1278" s="761"/>
    </row>
    <row r="1279" spans="1:12" s="732" customFormat="1" ht="8.25" customHeight="1">
      <c r="A1279" s="799"/>
      <c r="B1279" s="889"/>
      <c r="C1279" s="889"/>
      <c r="D1279" s="889"/>
      <c r="E1279" s="889"/>
      <c r="F1279" s="889"/>
      <c r="G1279" s="891"/>
      <c r="H1279" s="891"/>
      <c r="I1279" s="829"/>
      <c r="J1279" s="754"/>
      <c r="K1279" s="760"/>
      <c r="L1279" s="761"/>
    </row>
    <row r="1280" spans="1:12" s="732" customFormat="1" ht="16.5" customHeight="1" thickBot="1">
      <c r="A1280" s="799"/>
      <c r="B1280" s="890" t="s">
        <v>675</v>
      </c>
      <c r="C1280" s="889"/>
      <c r="D1280" s="889"/>
      <c r="E1280" s="889"/>
      <c r="F1280" s="889"/>
      <c r="G1280" s="901"/>
      <c r="H1280" s="891"/>
      <c r="I1280" s="817">
        <f>I1267+I1269</f>
        <v>35976963</v>
      </c>
      <c r="J1280" s="754"/>
      <c r="K1280" s="760"/>
      <c r="L1280" s="761"/>
    </row>
    <row r="1281" spans="1:12" s="821" customFormat="1" ht="15.75" thickTop="1">
      <c r="A1281" s="794"/>
      <c r="B1281" s="794"/>
      <c r="C1281" s="794"/>
      <c r="D1281" s="794"/>
      <c r="E1281" s="794"/>
      <c r="F1281" s="794"/>
      <c r="G1281" s="794"/>
      <c r="H1281" s="794"/>
      <c r="I1281" s="1175"/>
      <c r="K1281" s="822"/>
      <c r="L1281" s="823"/>
    </row>
    <row r="1282" spans="1:12" s="732" customFormat="1" ht="15">
      <c r="A1282" s="731" t="s">
        <v>1587</v>
      </c>
      <c r="B1282" s="890" t="s">
        <v>54</v>
      </c>
      <c r="C1282" s="889"/>
      <c r="D1282" s="889"/>
      <c r="E1282" s="889"/>
      <c r="F1282" s="889"/>
      <c r="G1282" s="891"/>
      <c r="H1282" s="891"/>
      <c r="I1282" s="829"/>
      <c r="J1282" s="754"/>
      <c r="K1282" s="760"/>
      <c r="L1282" s="761"/>
    </row>
    <row r="1283" spans="1:12" s="732" customFormat="1" ht="15">
      <c r="A1283" s="799"/>
      <c r="B1283" s="889"/>
      <c r="C1283" s="889"/>
      <c r="D1283" s="889"/>
      <c r="E1283" s="889"/>
      <c r="F1283" s="889"/>
      <c r="G1283" s="891" t="s">
        <v>1587</v>
      </c>
      <c r="H1283" s="891"/>
      <c r="I1283" s="829"/>
      <c r="J1283" s="754"/>
      <c r="K1283" s="760"/>
      <c r="L1283" s="761"/>
    </row>
    <row r="1284" spans="1:12" s="732" customFormat="1" ht="15">
      <c r="A1284" s="799"/>
      <c r="B1284" s="1277" t="s">
        <v>1283</v>
      </c>
      <c r="C1284" s="1277"/>
      <c r="D1284" s="1277"/>
      <c r="E1284" s="1283"/>
      <c r="F1284" s="889"/>
      <c r="G1284" s="891" t="s">
        <v>1587</v>
      </c>
      <c r="H1284" s="891" t="s">
        <v>1587</v>
      </c>
      <c r="I1284" s="829" t="s">
        <v>1587</v>
      </c>
      <c r="J1284" s="754"/>
      <c r="K1284" s="760"/>
      <c r="L1284" s="761"/>
    </row>
    <row r="1285" spans="1:12" s="732" customFormat="1" ht="15">
      <c r="A1285" s="799"/>
      <c r="B1285" s="889"/>
      <c r="C1285" s="889"/>
      <c r="D1285" s="889"/>
      <c r="E1285" s="889"/>
      <c r="F1285" s="889"/>
      <c r="G1285" s="891"/>
      <c r="H1285" s="891"/>
      <c r="I1285" s="829"/>
      <c r="J1285" s="754"/>
      <c r="K1285" s="760"/>
      <c r="L1285" s="761"/>
    </row>
    <row r="1286" spans="1:12" s="732" customFormat="1" ht="15">
      <c r="A1286" s="799"/>
      <c r="B1286" s="890" t="s">
        <v>676</v>
      </c>
      <c r="C1286" s="890"/>
      <c r="D1286" s="890"/>
      <c r="E1286" s="890"/>
      <c r="F1286" s="890"/>
      <c r="G1286" s="886">
        <f>I1313</f>
        <v>-10132728</v>
      </c>
      <c r="H1286" s="898"/>
      <c r="I1286" s="849">
        <f>48507519</f>
        <v>48507519</v>
      </c>
      <c r="J1286" s="754"/>
      <c r="K1286" s="760"/>
      <c r="L1286" s="761"/>
    </row>
    <row r="1287" spans="1:12" s="732" customFormat="1" ht="15">
      <c r="A1287" s="799"/>
      <c r="B1287" s="890"/>
      <c r="C1287" s="890"/>
      <c r="D1287" s="890"/>
      <c r="E1287" s="890"/>
      <c r="F1287" s="890"/>
      <c r="G1287" s="886"/>
      <c r="H1287" s="898"/>
      <c r="I1287" s="849"/>
      <c r="J1287" s="754"/>
      <c r="K1287" s="760"/>
      <c r="L1287" s="761"/>
    </row>
    <row r="1288" spans="1:12" s="732" customFormat="1" ht="15">
      <c r="A1288" s="799"/>
      <c r="B1288" s="890" t="s">
        <v>143</v>
      </c>
      <c r="C1288" s="890"/>
      <c r="D1288" s="890"/>
      <c r="E1288" s="890"/>
      <c r="F1288" s="890"/>
      <c r="G1288" s="886"/>
      <c r="H1288" s="898"/>
      <c r="I1288" s="849">
        <f>I1269</f>
        <v>2131428</v>
      </c>
      <c r="J1288" s="754"/>
      <c r="K1288" s="760"/>
      <c r="L1288" s="761"/>
    </row>
    <row r="1289" spans="1:12" s="732" customFormat="1" ht="15">
      <c r="A1289" s="799"/>
      <c r="B1289" s="889"/>
      <c r="C1289" s="889"/>
      <c r="D1289" s="889"/>
      <c r="E1289" s="889"/>
      <c r="F1289" s="889"/>
      <c r="G1289" s="902"/>
      <c r="H1289" s="891"/>
      <c r="I1289" s="829"/>
      <c r="J1289" s="754"/>
      <c r="K1289" s="760"/>
      <c r="L1289" s="761"/>
    </row>
    <row r="1290" spans="1:12" s="732" customFormat="1" ht="15">
      <c r="A1290" s="799"/>
      <c r="B1290" s="890" t="s">
        <v>683</v>
      </c>
      <c r="C1290" s="889"/>
      <c r="D1290" s="889"/>
      <c r="E1290" s="889"/>
      <c r="F1290" s="889"/>
      <c r="G1290" s="849">
        <f>SUM(G1291:G1312)</f>
        <v>86250976</v>
      </c>
      <c r="H1290" s="898"/>
      <c r="I1290" s="849">
        <f>SUM(I1291:I1312)</f>
        <v>-60771675</v>
      </c>
      <c r="J1290" s="754" t="s">
        <v>678</v>
      </c>
      <c r="K1290" s="760"/>
      <c r="L1290" s="761"/>
    </row>
    <row r="1291" spans="1:12" s="732" customFormat="1" ht="15">
      <c r="A1291" s="799"/>
      <c r="B1291" s="889"/>
      <c r="C1291" s="889"/>
      <c r="D1291" s="889"/>
      <c r="E1291" s="889"/>
      <c r="F1291" s="889"/>
      <c r="G1291" s="902" t="s">
        <v>1587</v>
      </c>
      <c r="H1291" s="891"/>
      <c r="I1291" s="829"/>
      <c r="J1291" s="754"/>
      <c r="K1291" s="760"/>
      <c r="L1291" s="761"/>
    </row>
    <row r="1292" spans="1:12" s="732" customFormat="1" ht="15">
      <c r="A1292" s="799"/>
      <c r="B1292" s="889" t="s">
        <v>685</v>
      </c>
      <c r="C1292" s="889"/>
      <c r="D1292" s="889"/>
      <c r="E1292" s="889"/>
      <c r="F1292" s="889"/>
      <c r="G1292" s="1159" t="s">
        <v>957</v>
      </c>
      <c r="H1292" s="891" t="s">
        <v>1587</v>
      </c>
      <c r="I1292" s="896">
        <f>-4004791</f>
        <v>-4004791</v>
      </c>
      <c r="J1292" s="754"/>
      <c r="K1292" s="760"/>
      <c r="L1292" s="761"/>
    </row>
    <row r="1293" spans="1:12" s="732" customFormat="1" ht="15">
      <c r="A1293" s="799"/>
      <c r="B1293" s="889" t="s">
        <v>803</v>
      </c>
      <c r="C1293" s="889"/>
      <c r="D1293" s="889"/>
      <c r="E1293" s="889"/>
      <c r="F1293" s="889"/>
      <c r="G1293" s="1160">
        <f>17551392</f>
        <v>17551392</v>
      </c>
      <c r="H1293" s="891" t="s">
        <v>1587</v>
      </c>
      <c r="I1293" s="899"/>
      <c r="J1293" s="754"/>
      <c r="K1293" s="760"/>
      <c r="L1293" s="761"/>
    </row>
    <row r="1294" spans="1:12" s="732" customFormat="1" ht="15">
      <c r="A1294" s="799"/>
      <c r="B1294" s="889" t="s">
        <v>124</v>
      </c>
      <c r="C1294" s="889"/>
      <c r="D1294" s="889"/>
      <c r="E1294" s="889"/>
      <c r="F1294" s="889"/>
      <c r="G1294" s="1161" t="s">
        <v>957</v>
      </c>
      <c r="H1294" s="891" t="s">
        <v>1587</v>
      </c>
      <c r="I1294" s="899">
        <f>-M185</f>
        <v>-4692182</v>
      </c>
      <c r="J1294" s="754"/>
      <c r="K1294" s="760"/>
      <c r="L1294" s="761"/>
    </row>
    <row r="1295" spans="1:12" s="732" customFormat="1" ht="15">
      <c r="A1295" s="799"/>
      <c r="B1295" s="889" t="s">
        <v>125</v>
      </c>
      <c r="C1295" s="889"/>
      <c r="D1295" s="889"/>
      <c r="E1295" s="889"/>
      <c r="F1295" s="889"/>
      <c r="G1295" s="1161" t="s">
        <v>957</v>
      </c>
      <c r="H1295" s="891" t="s">
        <v>1587</v>
      </c>
      <c r="I1295" s="1161" t="s">
        <v>957</v>
      </c>
      <c r="J1295" s="754"/>
      <c r="K1295" s="760"/>
      <c r="L1295" s="761"/>
    </row>
    <row r="1296" spans="1:12" s="732" customFormat="1" ht="15">
      <c r="A1296" s="799"/>
      <c r="B1296" s="889" t="s">
        <v>126</v>
      </c>
      <c r="C1296" s="889"/>
      <c r="D1296" s="889"/>
      <c r="E1296" s="889"/>
      <c r="F1296" s="889"/>
      <c r="G1296" s="1161" t="s">
        <v>957</v>
      </c>
      <c r="H1296" s="891" t="s">
        <v>1587</v>
      </c>
      <c r="I1296" s="899">
        <v>-273244</v>
      </c>
      <c r="J1296" s="754"/>
      <c r="K1296" s="760"/>
      <c r="L1296" s="761"/>
    </row>
    <row r="1297" spans="1:12" s="732" customFormat="1" ht="15">
      <c r="A1297" s="799"/>
      <c r="B1297" s="889" t="s">
        <v>681</v>
      </c>
      <c r="C1297" s="889"/>
      <c r="D1297" s="889"/>
      <c r="E1297" s="889"/>
      <c r="F1297" s="889"/>
      <c r="G1297" s="1161" t="s">
        <v>957</v>
      </c>
      <c r="H1297" s="891" t="s">
        <v>1587</v>
      </c>
      <c r="I1297" s="899">
        <f>1347731-94128</f>
        <v>1253603</v>
      </c>
      <c r="J1297" s="754"/>
      <c r="K1297" s="760"/>
      <c r="L1297" s="761"/>
    </row>
    <row r="1298" spans="1:12" s="732" customFormat="1" ht="15">
      <c r="A1298" s="799"/>
      <c r="B1298" s="889" t="s">
        <v>682</v>
      </c>
      <c r="C1298" s="889"/>
      <c r="D1298" s="889"/>
      <c r="E1298" s="889"/>
      <c r="F1298" s="889"/>
      <c r="G1298" s="1161" t="s">
        <v>957</v>
      </c>
      <c r="H1298" s="891" t="s">
        <v>1587</v>
      </c>
      <c r="I1298" s="899">
        <f>-1441590</f>
        <v>-1441590</v>
      </c>
      <c r="J1298" s="754"/>
      <c r="K1298" s="760"/>
      <c r="L1298" s="761"/>
    </row>
    <row r="1299" spans="1:12" s="732" customFormat="1" ht="15">
      <c r="A1299" s="799"/>
      <c r="B1299" s="889" t="s">
        <v>813</v>
      </c>
      <c r="C1299" s="889"/>
      <c r="D1299" s="889"/>
      <c r="E1299" s="889"/>
      <c r="F1299" s="889"/>
      <c r="G1299" s="1160">
        <v>1453603</v>
      </c>
      <c r="H1299" s="891" t="s">
        <v>1587</v>
      </c>
      <c r="I1299" s="899">
        <f>4053946.06</f>
        <v>4053946</v>
      </c>
      <c r="J1299" s="754"/>
      <c r="K1299" s="760"/>
      <c r="L1299" s="761"/>
    </row>
    <row r="1300" spans="1:12" s="732" customFormat="1" ht="15">
      <c r="A1300" s="799"/>
      <c r="B1300" s="889" t="s">
        <v>815</v>
      </c>
      <c r="C1300" s="889"/>
      <c r="D1300" s="889"/>
      <c r="E1300" s="889"/>
      <c r="F1300" s="889"/>
      <c r="G1300" s="1160">
        <v>-331902</v>
      </c>
      <c r="H1300" s="891" t="s">
        <v>1587</v>
      </c>
      <c r="I1300" s="1161" t="s">
        <v>957</v>
      </c>
      <c r="J1300" s="754"/>
      <c r="K1300" s="760"/>
      <c r="L1300" s="761"/>
    </row>
    <row r="1301" spans="1:12" s="732" customFormat="1" ht="15">
      <c r="A1301" s="799"/>
      <c r="B1301" s="889" t="s">
        <v>127</v>
      </c>
      <c r="C1301" s="889"/>
      <c r="D1301" s="889"/>
      <c r="E1301" s="889"/>
      <c r="F1301" s="889"/>
      <c r="G1301" s="1160">
        <v>155660</v>
      </c>
      <c r="H1301" s="891" t="s">
        <v>1587</v>
      </c>
      <c r="I1301" s="1161" t="s">
        <v>957</v>
      </c>
      <c r="J1301" s="754"/>
      <c r="K1301" s="760"/>
      <c r="L1301" s="761"/>
    </row>
    <row r="1302" spans="1:12" s="732" customFormat="1" ht="15">
      <c r="A1302" s="799"/>
      <c r="B1302" s="889" t="s">
        <v>817</v>
      </c>
      <c r="C1302" s="889"/>
      <c r="D1302" s="889"/>
      <c r="E1302" s="889"/>
      <c r="F1302" s="889"/>
      <c r="G1302" s="1160">
        <v>84246000</v>
      </c>
      <c r="H1302" s="891" t="s">
        <v>1587</v>
      </c>
      <c r="I1302" s="899">
        <f>30775</f>
        <v>30775</v>
      </c>
      <c r="J1302" s="850" t="s">
        <v>101</v>
      </c>
      <c r="K1302" s="760"/>
      <c r="L1302" s="761"/>
    </row>
    <row r="1303" spans="1:12" s="732" customFormat="1" ht="15">
      <c r="A1303" s="799"/>
      <c r="B1303" s="889" t="s">
        <v>128</v>
      </c>
      <c r="C1303" s="889"/>
      <c r="D1303" s="889"/>
      <c r="E1303" s="889"/>
      <c r="F1303" s="889"/>
      <c r="G1303" s="1160">
        <f>-19692141</f>
        <v>-19692141</v>
      </c>
      <c r="H1303" s="891" t="s">
        <v>1587</v>
      </c>
      <c r="I1303" s="899"/>
      <c r="J1303" s="754"/>
      <c r="K1303" s="760"/>
      <c r="L1303" s="761"/>
    </row>
    <row r="1304" spans="1:12" s="732" customFormat="1" ht="15">
      <c r="A1304" s="799"/>
      <c r="B1304" s="889" t="s">
        <v>680</v>
      </c>
      <c r="C1304" s="889"/>
      <c r="D1304" s="889"/>
      <c r="E1304" s="889" t="s">
        <v>1587</v>
      </c>
      <c r="F1304" s="889"/>
      <c r="G1304" s="1161" t="s">
        <v>957</v>
      </c>
      <c r="H1304" s="891" t="s">
        <v>1587</v>
      </c>
      <c r="I1304" s="899">
        <f>1454801-25250</f>
        <v>1429551</v>
      </c>
      <c r="J1304" s="754"/>
      <c r="K1304" s="760"/>
      <c r="L1304" s="761"/>
    </row>
    <row r="1305" spans="1:12" s="732" customFormat="1" ht="15">
      <c r="A1305" s="799"/>
      <c r="B1305" s="889" t="s">
        <v>812</v>
      </c>
      <c r="C1305" s="889"/>
      <c r="D1305" s="889"/>
      <c r="E1305" s="985" t="s">
        <v>1587</v>
      </c>
      <c r="F1305" s="889"/>
      <c r="G1305" s="1160">
        <f>-(-233731-16625-20834)</f>
        <v>271190</v>
      </c>
      <c r="H1305" s="891" t="s">
        <v>1587</v>
      </c>
      <c r="I1305" s="899">
        <f>-I1109+1</f>
        <v>643293</v>
      </c>
      <c r="J1305" s="754"/>
      <c r="K1305" s="760"/>
      <c r="L1305" s="761"/>
    </row>
    <row r="1306" spans="1:12" s="732" customFormat="1" ht="15">
      <c r="A1306" s="799"/>
      <c r="B1306" s="889" t="s">
        <v>814</v>
      </c>
      <c r="C1306" s="889"/>
      <c r="D1306" s="889"/>
      <c r="E1306" s="889" t="s">
        <v>1587</v>
      </c>
      <c r="F1306" s="889"/>
      <c r="G1306" s="1160">
        <f>-(-65831+96168-200+1499340+431-101)</f>
        <v>-1529807</v>
      </c>
      <c r="H1306" s="891" t="s">
        <v>1587</v>
      </c>
      <c r="I1306" s="899">
        <f>-3070223+937002+198819</f>
        <v>-1934402</v>
      </c>
      <c r="J1306" s="754"/>
      <c r="K1306" s="760"/>
      <c r="L1306" s="761"/>
    </row>
    <row r="1307" spans="1:12" s="732" customFormat="1" ht="15">
      <c r="A1307" s="799"/>
      <c r="B1307" s="889" t="s">
        <v>684</v>
      </c>
      <c r="C1307" s="889"/>
      <c r="D1307" s="889"/>
      <c r="E1307" s="889"/>
      <c r="F1307" s="889"/>
      <c r="G1307" s="1161" t="s">
        <v>957</v>
      </c>
      <c r="H1307" s="891" t="s">
        <v>1587</v>
      </c>
      <c r="I1307" s="899">
        <f>-59042747</f>
        <v>-59042747</v>
      </c>
      <c r="J1307" s="754"/>
      <c r="K1307" s="760"/>
      <c r="L1307" s="761"/>
    </row>
    <row r="1308" spans="1:12" s="732" customFormat="1" ht="15">
      <c r="A1308" s="799"/>
      <c r="B1308" s="889" t="s">
        <v>818</v>
      </c>
      <c r="C1308" s="889"/>
      <c r="D1308" s="889"/>
      <c r="E1308" s="889"/>
      <c r="F1308" s="889"/>
      <c r="G1308" s="1160">
        <v>-722785</v>
      </c>
      <c r="H1308" s="891"/>
      <c r="I1308" s="1161" t="s">
        <v>957</v>
      </c>
      <c r="J1308" s="754"/>
      <c r="K1308" s="760"/>
      <c r="L1308" s="761"/>
    </row>
    <row r="1309" spans="1:12" s="732" customFormat="1" ht="15">
      <c r="A1309" s="799"/>
      <c r="B1309" s="889" t="s">
        <v>802</v>
      </c>
      <c r="C1309" s="889"/>
      <c r="D1309" s="889"/>
      <c r="E1309" s="889"/>
      <c r="F1309" s="889"/>
      <c r="G1309" s="1160">
        <v>4849766</v>
      </c>
      <c r="H1309" s="891"/>
      <c r="I1309" s="899">
        <v>3176522</v>
      </c>
      <c r="J1309" s="754">
        <f>I1309+I1310+I1305</f>
        <v>3816692</v>
      </c>
      <c r="K1309" s="760"/>
      <c r="L1309" s="761"/>
    </row>
    <row r="1310" spans="1:12" s="732" customFormat="1" ht="15">
      <c r="A1310" s="799"/>
      <c r="B1310" s="889" t="s">
        <v>686</v>
      </c>
      <c r="C1310" s="889"/>
      <c r="D1310" s="889"/>
      <c r="E1310" s="889"/>
      <c r="F1310" s="889"/>
      <c r="G1310" s="1161" t="s">
        <v>957</v>
      </c>
      <c r="H1310" s="891"/>
      <c r="I1310" s="899">
        <f>-3123</f>
        <v>-3123</v>
      </c>
      <c r="J1310" s="754"/>
      <c r="K1310" s="760"/>
      <c r="L1310" s="761"/>
    </row>
    <row r="1311" spans="1:12" s="732" customFormat="1" ht="15">
      <c r="A1311" s="799"/>
      <c r="B1311" s="889" t="s">
        <v>1618</v>
      </c>
      <c r="C1311" s="889"/>
      <c r="D1311" s="889"/>
      <c r="E1311" s="889"/>
      <c r="F1311" s="889"/>
      <c r="G1311" s="1162" t="s">
        <v>957</v>
      </c>
      <c r="H1311" s="891"/>
      <c r="I1311" s="900">
        <v>32714</v>
      </c>
      <c r="J1311" s="754"/>
      <c r="K1311" s="760"/>
      <c r="L1311" s="761"/>
    </row>
    <row r="1312" spans="1:12" s="732" customFormat="1" ht="9" customHeight="1">
      <c r="A1312" s="799"/>
      <c r="B1312" s="889"/>
      <c r="C1312" s="889"/>
      <c r="D1312" s="889"/>
      <c r="E1312" s="889"/>
      <c r="F1312" s="889"/>
      <c r="G1312" s="897"/>
      <c r="H1312" s="891"/>
      <c r="I1312" s="829"/>
      <c r="J1312" s="754"/>
      <c r="K1312" s="760"/>
      <c r="L1312" s="761"/>
    </row>
    <row r="1313" spans="1:12" s="732" customFormat="1" ht="15.75" thickBot="1">
      <c r="A1313" s="799"/>
      <c r="B1313" s="890" t="s">
        <v>677</v>
      </c>
      <c r="C1313" s="889"/>
      <c r="D1313" s="889"/>
      <c r="E1313" s="889"/>
      <c r="F1313" s="889"/>
      <c r="G1313" s="817">
        <f>G1286+G1290</f>
        <v>76118248</v>
      </c>
      <c r="H1313" s="891"/>
      <c r="I1313" s="817">
        <f>I1286+I1290+I1269</f>
        <v>-10132728</v>
      </c>
      <c r="J1313" s="754"/>
      <c r="K1313" s="760"/>
      <c r="L1313" s="761"/>
    </row>
    <row r="1314" spans="1:12" s="732" customFormat="1" ht="15.75" thickTop="1">
      <c r="A1314" s="799"/>
      <c r="B1314" s="863"/>
      <c r="C1314" s="863"/>
      <c r="D1314" s="863"/>
      <c r="E1314" s="863"/>
      <c r="F1314" s="863"/>
      <c r="G1314" s="829"/>
      <c r="H1314" s="891"/>
      <c r="I1314" s="829"/>
      <c r="J1314" s="754"/>
      <c r="K1314" s="760"/>
      <c r="L1314" s="761"/>
    </row>
    <row r="1315" spans="1:12" s="732" customFormat="1" ht="15">
      <c r="A1315" s="799"/>
      <c r="B1315" s="863"/>
      <c r="C1315" s="863"/>
      <c r="D1315" s="863"/>
      <c r="E1315" s="863"/>
      <c r="F1315" s="863"/>
      <c r="G1315" s="829"/>
      <c r="H1315" s="891"/>
      <c r="I1315" s="829"/>
      <c r="J1315" s="754"/>
      <c r="K1315" s="760"/>
      <c r="L1315" s="761"/>
    </row>
    <row r="1316" spans="1:12" s="732" customFormat="1" ht="15">
      <c r="A1316" s="799"/>
      <c r="B1316" s="890" t="s">
        <v>131</v>
      </c>
      <c r="C1316" s="863"/>
      <c r="D1316" s="863"/>
      <c r="E1316" s="863"/>
      <c r="F1316" s="863"/>
      <c r="G1316" s="829"/>
      <c r="H1316" s="891"/>
      <c r="I1316" s="829"/>
      <c r="J1316" s="754"/>
      <c r="K1316" s="760"/>
      <c r="L1316" s="761"/>
    </row>
    <row r="1317" spans="1:12" s="732" customFormat="1" ht="15">
      <c r="A1317" s="799"/>
      <c r="B1317" s="863"/>
      <c r="C1317" s="863"/>
      <c r="D1317" s="863"/>
      <c r="E1317" s="863"/>
      <c r="F1317" s="863"/>
      <c r="G1317" s="829"/>
      <c r="H1317" s="891"/>
      <c r="I1317" s="829"/>
      <c r="J1317" s="754"/>
      <c r="K1317" s="760"/>
      <c r="L1317" s="761"/>
    </row>
    <row r="1318" spans="1:12" s="732" customFormat="1" ht="15">
      <c r="A1318" s="799"/>
      <c r="B1318" s="863" t="s">
        <v>132</v>
      </c>
      <c r="C1318" s="863"/>
      <c r="D1318" s="863"/>
      <c r="E1318" s="863"/>
      <c r="F1318" s="863"/>
      <c r="G1318" s="829"/>
      <c r="H1318" s="891"/>
      <c r="I1318" s="849">
        <v>48818033</v>
      </c>
      <c r="J1318" s="754"/>
      <c r="K1318" s="760"/>
      <c r="L1318" s="761"/>
    </row>
    <row r="1319" spans="1:12" s="732" customFormat="1" ht="15">
      <c r="A1319" s="799"/>
      <c r="B1319" s="863"/>
      <c r="C1319" s="863"/>
      <c r="D1319" s="863"/>
      <c r="E1319" s="863"/>
      <c r="F1319" s="863"/>
      <c r="G1319" s="829"/>
      <c r="H1319" s="891"/>
      <c r="I1319" s="829"/>
      <c r="J1319" s="754"/>
      <c r="K1319" s="760"/>
      <c r="L1319" s="761"/>
    </row>
    <row r="1320" spans="1:12" s="732" customFormat="1" ht="15">
      <c r="A1320" s="799"/>
      <c r="B1320" s="863"/>
      <c r="C1320" s="863"/>
      <c r="D1320" s="863"/>
      <c r="E1320" s="863"/>
      <c r="F1320" s="863"/>
      <c r="G1320" s="829"/>
      <c r="H1320" s="891"/>
      <c r="I1320" s="829">
        <f>SUM(I1321:I1322)</f>
        <v>-656031</v>
      </c>
      <c r="J1320" s="754"/>
      <c r="K1320" s="760"/>
      <c r="L1320" s="761"/>
    </row>
    <row r="1321" spans="1:12" s="732" customFormat="1" ht="15">
      <c r="A1321" s="799"/>
      <c r="B1321" s="863" t="s">
        <v>133</v>
      </c>
      <c r="C1321" s="863"/>
      <c r="D1321" s="863"/>
      <c r="E1321" s="863"/>
      <c r="F1321" s="863"/>
      <c r="G1321" s="829"/>
      <c r="H1321" s="891"/>
      <c r="I1321" s="896">
        <v>7778491</v>
      </c>
      <c r="J1321" s="754"/>
      <c r="K1321" s="760"/>
      <c r="L1321" s="761"/>
    </row>
    <row r="1322" spans="1:12" s="732" customFormat="1" ht="15">
      <c r="A1322" s="799"/>
      <c r="B1322" s="863" t="s">
        <v>134</v>
      </c>
      <c r="C1322" s="863"/>
      <c r="D1322" s="863"/>
      <c r="E1322" s="863"/>
      <c r="F1322" s="863"/>
      <c r="G1322" s="829"/>
      <c r="H1322" s="891"/>
      <c r="I1322" s="900">
        <v>-8434522</v>
      </c>
      <c r="J1322" s="754"/>
      <c r="K1322" s="760"/>
      <c r="L1322" s="761"/>
    </row>
    <row r="1323" spans="1:12" s="732" customFormat="1" ht="15">
      <c r="A1323" s="799"/>
      <c r="B1323" s="863"/>
      <c r="C1323" s="863"/>
      <c r="D1323" s="863"/>
      <c r="E1323" s="863"/>
      <c r="F1323" s="863"/>
      <c r="G1323" s="829"/>
      <c r="H1323" s="891"/>
      <c r="J1323" s="754"/>
      <c r="K1323" s="760"/>
      <c r="L1323" s="761"/>
    </row>
    <row r="1324" spans="1:12" s="732" customFormat="1" ht="15.75" thickBot="1">
      <c r="A1324" s="799"/>
      <c r="B1324" s="863"/>
      <c r="C1324" s="863"/>
      <c r="D1324" s="863"/>
      <c r="E1324" s="863"/>
      <c r="F1324" s="863"/>
      <c r="G1324" s="829"/>
      <c r="H1324" s="891"/>
      <c r="I1324" s="817">
        <f>SUM(I1318+I1320)</f>
        <v>48162002</v>
      </c>
      <c r="J1324" s="754"/>
      <c r="K1324" s="760"/>
      <c r="L1324" s="761"/>
    </row>
    <row r="1325" spans="1:12" s="732" customFormat="1" ht="15.75" thickTop="1">
      <c r="A1325" s="799"/>
      <c r="B1325" s="863"/>
      <c r="C1325" s="863"/>
      <c r="D1325" s="863"/>
      <c r="E1325" s="863"/>
      <c r="F1325" s="863"/>
      <c r="G1325" s="829"/>
      <c r="H1325" s="891"/>
      <c r="I1325" s="829"/>
      <c r="J1325" s="754"/>
      <c r="K1325" s="760"/>
      <c r="L1325" s="761"/>
    </row>
    <row r="1326" spans="1:12" s="732" customFormat="1" ht="15">
      <c r="A1326" s="799"/>
      <c r="B1326" s="863" t="s">
        <v>136</v>
      </c>
      <c r="C1326" s="863"/>
      <c r="D1326" s="863"/>
      <c r="E1326" s="863"/>
      <c r="F1326" s="863"/>
      <c r="G1326" s="829"/>
      <c r="H1326" s="891"/>
      <c r="I1326" s="829">
        <f>I1290</f>
        <v>-60771675</v>
      </c>
      <c r="J1326" s="754"/>
      <c r="K1326" s="760"/>
      <c r="L1326" s="761"/>
    </row>
    <row r="1327" spans="1:12" s="732" customFormat="1" ht="15">
      <c r="A1327" s="799"/>
      <c r="B1327" s="863" t="s">
        <v>135</v>
      </c>
      <c r="C1327" s="863"/>
      <c r="D1327" s="863"/>
      <c r="E1327" s="863"/>
      <c r="F1327" s="863"/>
      <c r="G1327" s="829"/>
      <c r="H1327" s="891"/>
      <c r="I1327" s="829">
        <v>656031</v>
      </c>
      <c r="J1327" s="754"/>
      <c r="K1327" s="760"/>
      <c r="L1327" s="761"/>
    </row>
    <row r="1328" spans="1:12" s="732" customFormat="1" ht="15">
      <c r="A1328" s="799"/>
      <c r="B1328" s="863" t="s">
        <v>137</v>
      </c>
      <c r="C1328" s="863"/>
      <c r="D1328" s="863"/>
      <c r="E1328" s="863"/>
      <c r="F1328" s="863"/>
      <c r="G1328" s="829"/>
      <c r="H1328" s="891"/>
      <c r="I1328" s="829">
        <v>-1089548</v>
      </c>
      <c r="J1328" s="754"/>
      <c r="K1328" s="760"/>
      <c r="L1328" s="761"/>
    </row>
    <row r="1329" spans="1:12" s="732" customFormat="1" ht="15.75" thickBot="1">
      <c r="A1329" s="799"/>
      <c r="B1329" s="863"/>
      <c r="C1329" s="863"/>
      <c r="D1329" s="863"/>
      <c r="E1329" s="863"/>
      <c r="F1329" s="863"/>
      <c r="G1329" s="829"/>
      <c r="H1329" s="891"/>
      <c r="I1329" s="817">
        <f>SUM(I1326:I1328)</f>
        <v>-61205192</v>
      </c>
      <c r="J1329" s="754"/>
      <c r="K1329" s="760"/>
      <c r="L1329" s="761"/>
    </row>
    <row r="1330" spans="1:12" s="732" customFormat="1" ht="15.75" thickTop="1">
      <c r="A1330" s="799"/>
      <c r="B1330" s="863"/>
      <c r="C1330" s="863"/>
      <c r="D1330" s="863"/>
      <c r="E1330" s="863"/>
      <c r="F1330" s="863"/>
      <c r="G1330" s="829"/>
      <c r="H1330" s="891"/>
      <c r="I1330" s="829"/>
      <c r="J1330" s="754"/>
      <c r="K1330" s="760"/>
      <c r="L1330" s="761"/>
    </row>
    <row r="1331" spans="1:12" s="732" customFormat="1" ht="15">
      <c r="A1331" s="731" t="s">
        <v>1587</v>
      </c>
      <c r="B1331" s="890" t="s">
        <v>55</v>
      </c>
      <c r="C1331" s="863"/>
      <c r="D1331" s="863"/>
      <c r="E1331" s="863"/>
      <c r="F1331" s="863"/>
      <c r="G1331" s="829" t="s">
        <v>1587</v>
      </c>
      <c r="H1331" s="891"/>
      <c r="I1331" s="829"/>
      <c r="J1331" s="754"/>
      <c r="K1331" s="760"/>
      <c r="L1331" s="761"/>
    </row>
    <row r="1332" spans="1:12" s="732" customFormat="1" ht="15">
      <c r="A1332" s="799"/>
      <c r="B1332" s="863"/>
      <c r="C1332" s="863"/>
      <c r="D1332" s="863"/>
      <c r="E1332" s="863"/>
      <c r="F1332" s="863"/>
      <c r="G1332" s="829" t="s">
        <v>1587</v>
      </c>
      <c r="H1332" s="891"/>
      <c r="I1332" s="829"/>
      <c r="J1332" s="754"/>
      <c r="K1332" s="760"/>
      <c r="L1332" s="761"/>
    </row>
    <row r="1333" spans="1:12" s="732" customFormat="1" ht="67.5" customHeight="1">
      <c r="A1333" s="799"/>
      <c r="B1333" s="863" t="s">
        <v>84</v>
      </c>
      <c r="C1333" s="863"/>
      <c r="D1333" s="863"/>
      <c r="E1333" s="863"/>
      <c r="F1333" s="863"/>
      <c r="G1333" s="829"/>
      <c r="H1333" s="891"/>
      <c r="I1333" s="829"/>
      <c r="J1333" s="754"/>
      <c r="K1333" s="760"/>
      <c r="L1333" s="761"/>
    </row>
    <row r="1334" spans="1:12" s="732" customFormat="1" ht="15">
      <c r="A1334" s="799"/>
      <c r="B1334" s="863"/>
      <c r="C1334" s="863"/>
      <c r="D1334" s="863"/>
      <c r="E1334" s="863"/>
      <c r="F1334" s="863"/>
      <c r="G1334" s="829"/>
      <c r="H1334" s="891"/>
      <c r="I1334" s="829"/>
      <c r="J1334" s="754"/>
      <c r="K1334" s="760"/>
      <c r="L1334" s="761"/>
    </row>
    <row r="1335" spans="1:12" s="748" customFormat="1" ht="15">
      <c r="A1335" s="731" t="s">
        <v>1587</v>
      </c>
      <c r="B1335" s="903" t="s">
        <v>85</v>
      </c>
      <c r="C1335" s="903"/>
      <c r="D1335" s="903"/>
      <c r="E1335" s="903"/>
      <c r="F1335" s="903"/>
      <c r="G1335" s="849"/>
      <c r="H1335" s="898"/>
      <c r="I1335" s="829"/>
      <c r="J1335" s="755"/>
      <c r="K1335" s="760"/>
      <c r="L1335" s="842"/>
    </row>
    <row r="1336" spans="1:12" s="748" customFormat="1" ht="15">
      <c r="A1336" s="731"/>
      <c r="B1336" s="903"/>
      <c r="C1336" s="903"/>
      <c r="D1336" s="903"/>
      <c r="E1336" s="903"/>
      <c r="F1336" s="903"/>
      <c r="G1336" s="849"/>
      <c r="H1336" s="898"/>
      <c r="I1336" s="829"/>
      <c r="J1336" s="755"/>
      <c r="K1336" s="760"/>
      <c r="L1336" s="842"/>
    </row>
    <row r="1337" spans="1:12" s="732" customFormat="1" ht="15">
      <c r="A1337" s="799"/>
      <c r="B1337" s="863" t="s">
        <v>93</v>
      </c>
      <c r="C1337" s="863"/>
      <c r="D1337" s="863"/>
      <c r="E1337" s="863"/>
      <c r="F1337" s="863"/>
      <c r="G1337" s="829" t="s">
        <v>1587</v>
      </c>
      <c r="H1337" s="891"/>
      <c r="I1337" s="829"/>
      <c r="J1337" s="754"/>
      <c r="K1337" s="760"/>
      <c r="L1337" s="761"/>
    </row>
    <row r="1338" spans="1:12" s="732" customFormat="1" ht="57">
      <c r="A1338" s="799"/>
      <c r="B1338" s="889" t="s">
        <v>94</v>
      </c>
      <c r="C1338" s="863"/>
      <c r="D1338" s="863"/>
      <c r="E1338" s="863"/>
      <c r="F1338" s="863"/>
      <c r="G1338" s="829"/>
      <c r="H1338" s="891"/>
      <c r="I1338" s="829"/>
      <c r="J1338" s="754"/>
      <c r="K1338" s="760"/>
      <c r="L1338" s="761"/>
    </row>
    <row r="1339" spans="1:12" s="732" customFormat="1" ht="15">
      <c r="A1339" s="799"/>
      <c r="B1339" s="863"/>
      <c r="C1339" s="863"/>
      <c r="D1339" s="863"/>
      <c r="E1339" s="863"/>
      <c r="F1339" s="863"/>
      <c r="G1339" s="829"/>
      <c r="H1339" s="891"/>
      <c r="I1339" s="829"/>
      <c r="J1339" s="754"/>
      <c r="K1339" s="760"/>
      <c r="L1339" s="761"/>
    </row>
    <row r="1340" spans="1:12" s="732" customFormat="1" ht="15">
      <c r="A1340" s="731" t="s">
        <v>1587</v>
      </c>
      <c r="B1340" s="903" t="s">
        <v>56</v>
      </c>
      <c r="C1340" s="863"/>
      <c r="D1340" s="863"/>
      <c r="E1340" s="863"/>
      <c r="F1340" s="863"/>
      <c r="G1340" s="829"/>
      <c r="H1340" s="891"/>
      <c r="I1340" s="829"/>
      <c r="J1340" s="754"/>
      <c r="K1340" s="760"/>
      <c r="L1340" s="761"/>
    </row>
    <row r="1341" spans="1:12" s="732" customFormat="1" ht="15">
      <c r="A1341" s="799"/>
      <c r="B1341" s="863" t="s">
        <v>816</v>
      </c>
      <c r="C1341" s="863"/>
      <c r="D1341" s="863"/>
      <c r="E1341" s="863"/>
      <c r="F1341" s="863"/>
      <c r="G1341" s="829"/>
      <c r="H1341" s="891"/>
      <c r="I1341" s="829"/>
      <c r="J1341" s="754"/>
      <c r="K1341" s="760"/>
      <c r="L1341" s="761"/>
    </row>
    <row r="1342" spans="1:12" s="732" customFormat="1" ht="15">
      <c r="A1342" s="799"/>
      <c r="B1342" s="863"/>
      <c r="C1342" s="863"/>
      <c r="D1342" s="863"/>
      <c r="E1342" s="863"/>
      <c r="F1342" s="863"/>
      <c r="G1342" s="829"/>
      <c r="H1342" s="891"/>
      <c r="I1342" s="829"/>
      <c r="J1342" s="754"/>
      <c r="K1342" s="760"/>
      <c r="L1342" s="761"/>
    </row>
    <row r="1343" spans="1:12" s="732" customFormat="1" ht="15">
      <c r="A1343" s="799"/>
      <c r="B1343" s="863"/>
      <c r="C1343" s="863"/>
      <c r="D1343" s="863"/>
      <c r="E1343" s="863"/>
      <c r="F1343" s="863"/>
      <c r="G1343" s="829"/>
      <c r="H1343" s="891"/>
      <c r="I1343" s="829"/>
      <c r="J1343" s="754"/>
      <c r="K1343" s="760"/>
      <c r="L1343" s="761"/>
    </row>
    <row r="1344" spans="1:12" s="732" customFormat="1" ht="15">
      <c r="A1344" s="799"/>
      <c r="B1344" s="863"/>
      <c r="C1344" s="863"/>
      <c r="D1344" s="863"/>
      <c r="E1344" s="863"/>
      <c r="F1344" s="863"/>
      <c r="G1344" s="829"/>
      <c r="H1344" s="891"/>
      <c r="I1344" s="829"/>
      <c r="J1344" s="754"/>
      <c r="K1344" s="760"/>
      <c r="L1344" s="761"/>
    </row>
    <row r="1345" spans="1:12" s="732" customFormat="1" ht="15">
      <c r="A1345" s="799"/>
      <c r="B1345" s="863"/>
      <c r="C1345" s="863"/>
      <c r="D1345" s="863"/>
      <c r="E1345" s="863"/>
      <c r="F1345" s="863"/>
      <c r="G1345" s="829"/>
      <c r="H1345" s="891"/>
      <c r="I1345" s="829"/>
      <c r="J1345" s="754"/>
      <c r="K1345" s="760"/>
      <c r="L1345" s="761"/>
    </row>
    <row r="1346" spans="1:9" ht="15">
      <c r="A1346" s="1271" t="s">
        <v>67</v>
      </c>
      <c r="B1346" s="1271"/>
      <c r="C1346" s="1271"/>
      <c r="D1346" s="1271"/>
      <c r="E1346" s="1271"/>
      <c r="F1346" s="1271"/>
      <c r="G1346" s="1271"/>
      <c r="H1346" s="1271"/>
      <c r="I1346" s="1271"/>
    </row>
    <row r="1347" spans="1:12" s="748" customFormat="1" ht="15">
      <c r="A1347" s="731" t="s">
        <v>1587</v>
      </c>
      <c r="B1347" s="903" t="s">
        <v>57</v>
      </c>
      <c r="C1347" s="903"/>
      <c r="D1347" s="903"/>
      <c r="E1347" s="903"/>
      <c r="F1347" s="903"/>
      <c r="G1347" s="849"/>
      <c r="H1347" s="898"/>
      <c r="I1347" s="829"/>
      <c r="J1347" s="755"/>
      <c r="K1347" s="760"/>
      <c r="L1347" s="842"/>
    </row>
    <row r="1348" spans="1:12" s="732" customFormat="1" ht="28.5">
      <c r="A1348" s="799"/>
      <c r="B1348" s="863" t="s">
        <v>86</v>
      </c>
      <c r="C1348" s="863"/>
      <c r="D1348" s="863"/>
      <c r="E1348" s="863"/>
      <c r="F1348" s="863"/>
      <c r="G1348" s="829"/>
      <c r="H1348" s="891"/>
      <c r="I1348" s="829"/>
      <c r="J1348" s="754"/>
      <c r="K1348" s="760"/>
      <c r="L1348" s="761"/>
    </row>
    <row r="1349" spans="1:12" s="732" customFormat="1" ht="15">
      <c r="A1349" s="799"/>
      <c r="B1349" s="863"/>
      <c r="C1349" s="863"/>
      <c r="D1349" s="863"/>
      <c r="E1349" s="863"/>
      <c r="F1349" s="863"/>
      <c r="G1349" s="829"/>
      <c r="H1349" s="891"/>
      <c r="I1349" s="829"/>
      <c r="J1349" s="754"/>
      <c r="K1349" s="760"/>
      <c r="L1349" s="761"/>
    </row>
    <row r="1350" spans="1:12" s="732" customFormat="1" ht="15">
      <c r="A1350" s="799"/>
      <c r="B1350" s="863"/>
      <c r="C1350" s="863"/>
      <c r="D1350" s="863"/>
      <c r="E1350" s="863"/>
      <c r="F1350" s="863"/>
      <c r="G1350" s="829"/>
      <c r="H1350" s="891"/>
      <c r="I1350" s="829"/>
      <c r="J1350" s="754"/>
      <c r="K1350" s="760"/>
      <c r="L1350" s="761"/>
    </row>
    <row r="1351" spans="1:12" s="732" customFormat="1" ht="15">
      <c r="A1351" s="731">
        <v>30</v>
      </c>
      <c r="B1351" s="903" t="s">
        <v>1067</v>
      </c>
      <c r="C1351" s="863"/>
      <c r="D1351" s="863"/>
      <c r="E1351" s="863" t="s">
        <v>1587</v>
      </c>
      <c r="F1351" s="863" t="s">
        <v>1587</v>
      </c>
      <c r="G1351" s="812" t="s">
        <v>1587</v>
      </c>
      <c r="H1351" s="904"/>
      <c r="I1351" s="812" t="s">
        <v>1587</v>
      </c>
      <c r="J1351" s="754"/>
      <c r="K1351" s="760"/>
      <c r="L1351" s="761"/>
    </row>
    <row r="1352" spans="1:12" s="732" customFormat="1" ht="15">
      <c r="A1352" s="799"/>
      <c r="B1352" s="863"/>
      <c r="C1352" s="863"/>
      <c r="D1352" s="863"/>
      <c r="E1352" s="863"/>
      <c r="F1352" s="863"/>
      <c r="G1352" s="904"/>
      <c r="H1352" s="904"/>
      <c r="J1352" s="754"/>
      <c r="K1352" s="760"/>
      <c r="L1352" s="761"/>
    </row>
    <row r="1353" spans="1:12" s="732" customFormat="1" ht="52.5" customHeight="1">
      <c r="A1353" s="799"/>
      <c r="B1353" s="1280" t="s">
        <v>1272</v>
      </c>
      <c r="C1353" s="1283"/>
      <c r="D1353" s="1283"/>
      <c r="E1353" s="1283"/>
      <c r="F1353" s="797"/>
      <c r="G1353" s="797"/>
      <c r="H1353" s="797"/>
      <c r="I1353" s="797"/>
      <c r="J1353" s="754"/>
      <c r="K1353" s="760"/>
      <c r="L1353" s="761"/>
    </row>
    <row r="1354" spans="1:12" s="732" customFormat="1" ht="15">
      <c r="A1354" s="799"/>
      <c r="B1354" s="863"/>
      <c r="C1354" s="797"/>
      <c r="D1354" s="797"/>
      <c r="E1354" s="797"/>
      <c r="F1354" s="797"/>
      <c r="G1354" s="797"/>
      <c r="H1354" s="797"/>
      <c r="I1354" s="797"/>
      <c r="J1354" s="754"/>
      <c r="K1354" s="760"/>
      <c r="L1354" s="761"/>
    </row>
    <row r="1356" spans="1:12" s="732" customFormat="1" ht="15">
      <c r="A1356" s="753">
        <v>31</v>
      </c>
      <c r="B1356" s="1278" t="s">
        <v>1560</v>
      </c>
      <c r="C1356" s="1278"/>
      <c r="D1356" s="1278"/>
      <c r="E1356" s="1278"/>
      <c r="F1356" s="795"/>
      <c r="G1356" s="796"/>
      <c r="H1356" s="781"/>
      <c r="I1356" s="754"/>
      <c r="J1356" s="732" t="s">
        <v>271</v>
      </c>
      <c r="K1356" s="760"/>
      <c r="L1356" s="761"/>
    </row>
    <row r="1357" spans="1:12" s="732" customFormat="1" ht="9.75" customHeight="1">
      <c r="A1357" s="753"/>
      <c r="B1357" s="795"/>
      <c r="C1357" s="795"/>
      <c r="D1357" s="795"/>
      <c r="E1357" s="795"/>
      <c r="F1357" s="795"/>
      <c r="G1357" s="796"/>
      <c r="H1357" s="781"/>
      <c r="I1357" s="754"/>
      <c r="K1357" s="760"/>
      <c r="L1357" s="761"/>
    </row>
    <row r="1358" spans="1:12" s="732" customFormat="1" ht="15">
      <c r="A1358" s="753"/>
      <c r="B1358" s="754" t="s">
        <v>1027</v>
      </c>
      <c r="C1358" s="795"/>
      <c r="D1358" s="795"/>
      <c r="E1358" s="795"/>
      <c r="F1358" s="795"/>
      <c r="G1358" s="812">
        <v>9844782</v>
      </c>
      <c r="H1358" s="776"/>
      <c r="I1358" s="756">
        <v>8407362</v>
      </c>
      <c r="K1358" s="760"/>
      <c r="L1358" s="761"/>
    </row>
    <row r="1359" spans="1:12" s="732" customFormat="1" ht="15">
      <c r="A1359" s="753"/>
      <c r="B1359" s="754" t="s">
        <v>1028</v>
      </c>
      <c r="C1359" s="795"/>
      <c r="D1359" s="795"/>
      <c r="E1359" s="748"/>
      <c r="G1359" s="812">
        <v>514227</v>
      </c>
      <c r="H1359" s="776"/>
      <c r="I1359" s="756">
        <v>434209</v>
      </c>
      <c r="K1359" s="760"/>
      <c r="L1359" s="761"/>
    </row>
    <row r="1360" spans="1:12" s="732" customFormat="1" ht="15">
      <c r="A1360" s="753"/>
      <c r="B1360" s="754" t="s">
        <v>1029</v>
      </c>
      <c r="C1360" s="795"/>
      <c r="D1360" s="795"/>
      <c r="E1360" s="748"/>
      <c r="G1360" s="812">
        <v>45856</v>
      </c>
      <c r="H1360" s="776"/>
      <c r="I1360" s="756">
        <v>42170</v>
      </c>
      <c r="K1360" s="760"/>
      <c r="L1360" s="761"/>
    </row>
    <row r="1361" spans="1:12" s="732" customFormat="1" ht="15">
      <c r="A1361" s="753"/>
      <c r="B1361" s="754" t="s">
        <v>1338</v>
      </c>
      <c r="C1361" s="795"/>
      <c r="D1361" s="795"/>
      <c r="E1361" s="748"/>
      <c r="G1361" s="812">
        <v>21853158</v>
      </c>
      <c r="H1361" s="776"/>
      <c r="I1361" s="756">
        <v>19718907</v>
      </c>
      <c r="K1361" s="760"/>
      <c r="L1361" s="761"/>
    </row>
    <row r="1362" spans="1:12" s="732" customFormat="1" ht="15">
      <c r="A1362" s="753"/>
      <c r="B1362" s="754" t="s">
        <v>1030</v>
      </c>
      <c r="C1362" s="795"/>
      <c r="D1362" s="795"/>
      <c r="E1362" s="748"/>
      <c r="G1362" s="812">
        <v>9730660</v>
      </c>
      <c r="H1362" s="776"/>
      <c r="I1362" s="756">
        <v>8702590</v>
      </c>
      <c r="K1362" s="760"/>
      <c r="L1362" s="761"/>
    </row>
    <row r="1363" spans="1:12" s="732" customFormat="1" ht="15">
      <c r="A1363" s="753"/>
      <c r="B1363" s="754" t="s">
        <v>1031</v>
      </c>
      <c r="C1363" s="795"/>
      <c r="D1363" s="795"/>
      <c r="E1363" s="748"/>
      <c r="G1363" s="812">
        <v>1950445</v>
      </c>
      <c r="H1363" s="776"/>
      <c r="I1363" s="756">
        <v>1440511</v>
      </c>
      <c r="K1363" s="760"/>
      <c r="L1363" s="761"/>
    </row>
    <row r="1364" spans="1:12" s="732" customFormat="1" ht="15">
      <c r="A1364" s="753"/>
      <c r="B1364" s="754" t="s">
        <v>1032</v>
      </c>
      <c r="C1364" s="795"/>
      <c r="D1364" s="795"/>
      <c r="E1364" s="748"/>
      <c r="G1364" s="812">
        <v>219720</v>
      </c>
      <c r="H1364" s="776"/>
      <c r="I1364" s="756">
        <v>207772</v>
      </c>
      <c r="K1364" s="760"/>
      <c r="L1364" s="761"/>
    </row>
    <row r="1365" spans="1:12" s="732" customFormat="1" ht="15">
      <c r="A1365" s="753"/>
      <c r="B1365" s="754" t="s">
        <v>87</v>
      </c>
      <c r="C1365" s="795"/>
      <c r="D1365" s="795"/>
      <c r="E1365" s="748"/>
      <c r="G1365" s="812">
        <v>1840104</v>
      </c>
      <c r="H1365" s="776"/>
      <c r="I1365" s="756">
        <v>2422686</v>
      </c>
      <c r="K1365" s="760"/>
      <c r="L1365" s="761"/>
    </row>
    <row r="1366" spans="1:12" s="732" customFormat="1" ht="9" customHeight="1">
      <c r="A1366" s="753"/>
      <c r="B1366" s="754"/>
      <c r="C1366" s="795"/>
      <c r="D1366" s="795"/>
      <c r="E1366" s="748"/>
      <c r="G1366" s="812"/>
      <c r="H1366" s="776"/>
      <c r="I1366" s="756"/>
      <c r="K1366" s="760"/>
      <c r="L1366" s="761"/>
    </row>
    <row r="1367" spans="1:12" s="732" customFormat="1" ht="15.75" thickBot="1">
      <c r="A1367" s="753"/>
      <c r="C1367" s="795"/>
      <c r="D1367" s="795"/>
      <c r="E1367" s="748"/>
      <c r="G1367" s="817">
        <f>SUM(G1358:G1365)</f>
        <v>45998952</v>
      </c>
      <c r="H1367" s="776"/>
      <c r="I1367" s="771">
        <f>SUM(I1358:I1365)</f>
        <v>41376207</v>
      </c>
      <c r="K1367" s="760"/>
      <c r="L1367" s="761"/>
    </row>
    <row r="1368" spans="1:12" s="732" customFormat="1" ht="15.75" thickTop="1">
      <c r="A1368" s="753"/>
      <c r="B1368" s="795"/>
      <c r="C1368" s="795"/>
      <c r="D1368" s="795"/>
      <c r="E1368" s="748"/>
      <c r="G1368" s="756"/>
      <c r="H1368" s="781"/>
      <c r="I1368" s="754"/>
      <c r="K1368" s="760"/>
      <c r="L1368" s="761"/>
    </row>
    <row r="1369" spans="1:12" s="732" customFormat="1" ht="36" customHeight="1">
      <c r="A1369" s="905"/>
      <c r="B1369" s="1282" t="s">
        <v>1284</v>
      </c>
      <c r="C1369" s="1282"/>
      <c r="D1369" s="1282"/>
      <c r="E1369" s="1282"/>
      <c r="F1369" s="856"/>
      <c r="G1369" s="856"/>
      <c r="H1369" s="856"/>
      <c r="I1369" s="856"/>
      <c r="K1369" s="760"/>
      <c r="L1369" s="761"/>
    </row>
    <row r="1370" spans="1:12" s="732" customFormat="1" ht="15">
      <c r="A1370" s="753"/>
      <c r="B1370" s="856"/>
      <c r="C1370" s="856"/>
      <c r="D1370" s="856"/>
      <c r="E1370" s="906"/>
      <c r="F1370" s="856"/>
      <c r="G1370" s="812"/>
      <c r="H1370" s="907"/>
      <c r="I1370" s="776"/>
      <c r="K1370" s="760"/>
      <c r="L1370" s="761"/>
    </row>
    <row r="1371" spans="1:12" s="732" customFormat="1" ht="15">
      <c r="A1371" s="753">
        <f>A1356+1</f>
        <v>32</v>
      </c>
      <c r="B1371" s="1278" t="s">
        <v>1339</v>
      </c>
      <c r="C1371" s="1278"/>
      <c r="D1371" s="1278"/>
      <c r="E1371" s="1278"/>
      <c r="F1371" s="795"/>
      <c r="G1371" s="756"/>
      <c r="H1371" s="757"/>
      <c r="I1371" s="754"/>
      <c r="J1371" s="732" t="s">
        <v>271</v>
      </c>
      <c r="K1371" s="760"/>
      <c r="L1371" s="761"/>
    </row>
    <row r="1372" spans="1:12" s="732" customFormat="1" ht="9" customHeight="1">
      <c r="A1372" s="753"/>
      <c r="B1372" s="776"/>
      <c r="C1372" s="776"/>
      <c r="D1372" s="776"/>
      <c r="E1372" s="776"/>
      <c r="F1372" s="776"/>
      <c r="G1372" s="756"/>
      <c r="H1372" s="757"/>
      <c r="I1372" s="754"/>
      <c r="K1372" s="760"/>
      <c r="L1372" s="761"/>
    </row>
    <row r="1373" spans="1:12" s="732" customFormat="1" ht="15">
      <c r="A1373" s="753"/>
      <c r="B1373" s="754" t="s">
        <v>431</v>
      </c>
      <c r="C1373" s="754"/>
      <c r="D1373" s="754"/>
      <c r="E1373" s="755"/>
      <c r="F1373" s="754"/>
      <c r="G1373" s="897" t="s">
        <v>957</v>
      </c>
      <c r="H1373" s="757"/>
      <c r="I1373" s="758">
        <v>118594</v>
      </c>
      <c r="K1373" s="760"/>
      <c r="L1373" s="761"/>
    </row>
    <row r="1374" spans="1:12" s="732" customFormat="1" ht="15">
      <c r="A1374" s="753"/>
      <c r="B1374" s="754" t="s">
        <v>1033</v>
      </c>
      <c r="C1374" s="754"/>
      <c r="D1374" s="754"/>
      <c r="E1374" s="755"/>
      <c r="F1374" s="754"/>
      <c r="G1374" s="756">
        <v>333420</v>
      </c>
      <c r="H1374" s="757"/>
      <c r="I1374" s="758">
        <v>356740</v>
      </c>
      <c r="K1374" s="760"/>
      <c r="L1374" s="761"/>
    </row>
    <row r="1375" spans="1:12" s="732" customFormat="1" ht="15">
      <c r="A1375" s="753"/>
      <c r="B1375" s="1273" t="s">
        <v>853</v>
      </c>
      <c r="C1375" s="1273"/>
      <c r="D1375" s="1273"/>
      <c r="E1375" s="1273"/>
      <c r="F1375" s="776"/>
      <c r="G1375" s="897" t="s">
        <v>957</v>
      </c>
      <c r="H1375" s="757"/>
      <c r="I1375" s="758">
        <v>10820000</v>
      </c>
      <c r="K1375" s="760"/>
      <c r="L1375" s="761"/>
    </row>
    <row r="1376" spans="1:12" s="732" customFormat="1" ht="15.75" thickBot="1">
      <c r="A1376" s="753"/>
      <c r="B1376" s="1273" t="s">
        <v>256</v>
      </c>
      <c r="C1376" s="1273"/>
      <c r="D1376" s="1273"/>
      <c r="E1376" s="1273"/>
      <c r="F1376" s="776"/>
      <c r="G1376" s="765">
        <f>K1376</f>
        <v>16383789</v>
      </c>
      <c r="H1376" s="757"/>
      <c r="I1376" s="764">
        <v>5885911</v>
      </c>
      <c r="K1376" s="908">
        <f>SUM(K1382:K1422)</f>
        <v>16383789</v>
      </c>
      <c r="L1376" s="761">
        <v>10000000</v>
      </c>
    </row>
    <row r="1377" spans="1:12" s="732" customFormat="1" ht="9" customHeight="1" thickTop="1">
      <c r="A1377" s="753"/>
      <c r="B1377" s="776"/>
      <c r="C1377" s="776"/>
      <c r="D1377" s="776"/>
      <c r="E1377" s="776"/>
      <c r="F1377" s="776"/>
      <c r="G1377" s="765"/>
      <c r="H1377" s="757"/>
      <c r="I1377" s="764"/>
      <c r="K1377" s="909"/>
      <c r="L1377" s="761"/>
    </row>
    <row r="1378" spans="1:12" s="732" customFormat="1" ht="15.75" thickBot="1">
      <c r="A1378" s="753"/>
      <c r="B1378" s="776"/>
      <c r="C1378" s="776"/>
      <c r="D1378" s="776"/>
      <c r="E1378" s="776"/>
      <c r="F1378" s="776"/>
      <c r="G1378" s="771">
        <f>SUM(G1373:G1376)</f>
        <v>16717209</v>
      </c>
      <c r="H1378" s="757"/>
      <c r="I1378" s="779">
        <v>17181245</v>
      </c>
      <c r="K1378" s="909"/>
      <c r="L1378" s="761">
        <v>20000</v>
      </c>
    </row>
    <row r="1379" spans="11:12" s="821" customFormat="1" ht="15.75" thickTop="1">
      <c r="K1379" s="822"/>
      <c r="L1379" s="823"/>
    </row>
    <row r="1380" spans="1:12" s="732" customFormat="1" ht="15">
      <c r="A1380" s="753"/>
      <c r="B1380" s="1278" t="s">
        <v>256</v>
      </c>
      <c r="C1380" s="1278"/>
      <c r="D1380" s="1278"/>
      <c r="E1380" s="1278"/>
      <c r="F1380" s="776"/>
      <c r="G1380" s="765"/>
      <c r="H1380" s="757"/>
      <c r="I1380" s="757"/>
      <c r="K1380" s="909"/>
      <c r="L1380" s="895">
        <v>50000</v>
      </c>
    </row>
    <row r="1381" spans="1:12" s="732" customFormat="1" ht="9" customHeight="1">
      <c r="A1381" s="753"/>
      <c r="B1381" s="795"/>
      <c r="C1381" s="795"/>
      <c r="D1381" s="795"/>
      <c r="E1381" s="795"/>
      <c r="F1381" s="776"/>
      <c r="G1381" s="765"/>
      <c r="H1381" s="757"/>
      <c r="I1381" s="757"/>
      <c r="K1381" s="909"/>
      <c r="L1381" s="895"/>
    </row>
    <row r="1382" spans="1:12" s="748" customFormat="1" ht="15">
      <c r="A1382" s="753"/>
      <c r="B1382" s="795" t="s">
        <v>618</v>
      </c>
      <c r="G1382" s="796"/>
      <c r="H1382" s="805"/>
      <c r="I1382" s="754"/>
      <c r="K1382" s="909"/>
      <c r="L1382" s="842"/>
    </row>
    <row r="1383" spans="1:12" s="748" customFormat="1" ht="63" customHeight="1">
      <c r="A1383" s="753"/>
      <c r="B1383" s="1282" t="s">
        <v>88</v>
      </c>
      <c r="C1383" s="1282"/>
      <c r="D1383" s="1282"/>
      <c r="E1383" s="1282"/>
      <c r="F1383" s="1282"/>
      <c r="G1383" s="1282"/>
      <c r="H1383" s="1282"/>
      <c r="I1383" s="1282"/>
      <c r="K1383" s="909">
        <v>290000</v>
      </c>
      <c r="L1383" s="842"/>
    </row>
    <row r="1384" spans="1:12" s="748" customFormat="1" ht="9" customHeight="1">
      <c r="A1384" s="753"/>
      <c r="B1384" s="856"/>
      <c r="C1384" s="856"/>
      <c r="D1384" s="856"/>
      <c r="E1384" s="856"/>
      <c r="F1384" s="856"/>
      <c r="G1384" s="856"/>
      <c r="H1384" s="856"/>
      <c r="I1384" s="856"/>
      <c r="K1384" s="909"/>
      <c r="L1384" s="842"/>
    </row>
    <row r="1385" spans="1:12" s="748" customFormat="1" ht="15">
      <c r="A1385" s="753"/>
      <c r="B1385" s="906" t="s">
        <v>619</v>
      </c>
      <c r="C1385" s="856"/>
      <c r="D1385" s="856"/>
      <c r="E1385" s="856"/>
      <c r="F1385" s="856"/>
      <c r="G1385" s="856"/>
      <c r="H1385" s="856"/>
      <c r="I1385" s="856"/>
      <c r="K1385" s="909"/>
      <c r="L1385" s="842"/>
    </row>
    <row r="1386" spans="1:12" s="748" customFormat="1" ht="66.75" customHeight="1">
      <c r="A1386" s="753"/>
      <c r="B1386" s="1282" t="s">
        <v>774</v>
      </c>
      <c r="C1386" s="1282"/>
      <c r="D1386" s="1282"/>
      <c r="E1386" s="1282"/>
      <c r="F1386" s="1282"/>
      <c r="G1386" s="1282"/>
      <c r="H1386" s="1282"/>
      <c r="I1386" s="1282"/>
      <c r="K1386" s="909">
        <v>360000</v>
      </c>
      <c r="L1386" s="842"/>
    </row>
    <row r="1387" spans="1:12" s="748" customFormat="1" ht="9" customHeight="1">
      <c r="A1387" s="753"/>
      <c r="B1387" s="856"/>
      <c r="C1387" s="856"/>
      <c r="D1387" s="856"/>
      <c r="E1387" s="856"/>
      <c r="F1387" s="856"/>
      <c r="G1387" s="856"/>
      <c r="H1387" s="856"/>
      <c r="I1387" s="856"/>
      <c r="K1387" s="909"/>
      <c r="L1387" s="842"/>
    </row>
    <row r="1388" spans="1:12" s="748" customFormat="1" ht="15">
      <c r="A1388" s="753"/>
      <c r="B1388" s="906" t="s">
        <v>620</v>
      </c>
      <c r="C1388" s="856"/>
      <c r="D1388" s="856"/>
      <c r="E1388" s="856"/>
      <c r="F1388" s="856"/>
      <c r="G1388" s="856"/>
      <c r="H1388" s="856"/>
      <c r="I1388" s="856"/>
      <c r="K1388" s="909"/>
      <c r="L1388" s="842"/>
    </row>
    <row r="1389" spans="1:12" s="748" customFormat="1" ht="51" customHeight="1">
      <c r="A1389" s="753"/>
      <c r="B1389" s="1282" t="s">
        <v>775</v>
      </c>
      <c r="C1389" s="1282"/>
      <c r="D1389" s="1282"/>
      <c r="E1389" s="1282"/>
      <c r="F1389" s="1282"/>
      <c r="G1389" s="1282"/>
      <c r="H1389" s="1282"/>
      <c r="I1389" s="1282"/>
      <c r="K1389" s="909">
        <v>3600</v>
      </c>
      <c r="L1389" s="842"/>
    </row>
    <row r="1390" spans="1:12" s="748" customFormat="1" ht="9" customHeight="1">
      <c r="A1390" s="753"/>
      <c r="B1390" s="1282"/>
      <c r="C1390" s="1282"/>
      <c r="D1390" s="1282"/>
      <c r="E1390" s="1282"/>
      <c r="F1390" s="1282"/>
      <c r="G1390" s="1282"/>
      <c r="H1390" s="1282"/>
      <c r="I1390" s="1282"/>
      <c r="K1390" s="909"/>
      <c r="L1390" s="842"/>
    </row>
    <row r="1391" spans="1:12" s="748" customFormat="1" ht="15">
      <c r="A1391" s="753"/>
      <c r="B1391" s="906" t="s">
        <v>621</v>
      </c>
      <c r="C1391" s="856"/>
      <c r="D1391" s="856"/>
      <c r="E1391" s="856"/>
      <c r="F1391" s="856"/>
      <c r="G1391" s="856"/>
      <c r="H1391" s="856"/>
      <c r="I1391" s="856"/>
      <c r="K1391" s="909"/>
      <c r="L1391" s="842"/>
    </row>
    <row r="1392" spans="1:12" s="748" customFormat="1" ht="51" customHeight="1">
      <c r="A1392" s="753"/>
      <c r="B1392" s="1282" t="s">
        <v>622</v>
      </c>
      <c r="C1392" s="1282"/>
      <c r="D1392" s="1282"/>
      <c r="E1392" s="1282"/>
      <c r="F1392" s="1282"/>
      <c r="G1392" s="1282"/>
      <c r="H1392" s="1282"/>
      <c r="I1392" s="1282"/>
      <c r="K1392" s="909">
        <v>20000</v>
      </c>
      <c r="L1392" s="842"/>
    </row>
    <row r="1393" spans="1:12" s="748" customFormat="1" ht="9" customHeight="1">
      <c r="A1393" s="753"/>
      <c r="B1393" s="856"/>
      <c r="C1393" s="856"/>
      <c r="D1393" s="856"/>
      <c r="E1393" s="856"/>
      <c r="F1393" s="856"/>
      <c r="G1393" s="856"/>
      <c r="H1393" s="856"/>
      <c r="I1393" s="856"/>
      <c r="K1393" s="909"/>
      <c r="L1393" s="842"/>
    </row>
    <row r="1394" spans="1:12" s="748" customFormat="1" ht="15">
      <c r="A1394" s="753"/>
      <c r="B1394" s="795" t="s">
        <v>644</v>
      </c>
      <c r="G1394" s="796"/>
      <c r="H1394" s="805"/>
      <c r="I1394" s="754"/>
      <c r="K1394" s="909"/>
      <c r="L1394" s="842"/>
    </row>
    <row r="1395" spans="1:12" s="912" customFormat="1" ht="68.25" customHeight="1">
      <c r="A1395" s="911"/>
      <c r="B1395" s="1282" t="s">
        <v>776</v>
      </c>
      <c r="C1395" s="1282"/>
      <c r="D1395" s="1282"/>
      <c r="E1395" s="1282"/>
      <c r="F1395" s="1282"/>
      <c r="G1395" s="1282"/>
      <c r="H1395" s="1282"/>
      <c r="I1395" s="1282"/>
      <c r="K1395" s="909">
        <v>25691</v>
      </c>
      <c r="L1395" s="760"/>
    </row>
    <row r="1396" spans="1:12" s="748" customFormat="1" ht="9" customHeight="1">
      <c r="A1396" s="753"/>
      <c r="B1396" s="795"/>
      <c r="G1396" s="796"/>
      <c r="H1396" s="805"/>
      <c r="I1396" s="754"/>
      <c r="K1396" s="909"/>
      <c r="L1396" s="842"/>
    </row>
    <row r="1397" spans="1:12" s="748" customFormat="1" ht="15">
      <c r="A1397" s="753"/>
      <c r="B1397" s="795" t="s">
        <v>617</v>
      </c>
      <c r="G1397" s="796"/>
      <c r="H1397" s="805"/>
      <c r="I1397" s="754"/>
      <c r="K1397" s="909"/>
      <c r="L1397" s="842"/>
    </row>
    <row r="1398" spans="1:12" s="732" customFormat="1" ht="35.25" customHeight="1" thickBot="1">
      <c r="A1398" s="753"/>
      <c r="B1398" s="1282" t="s">
        <v>641</v>
      </c>
      <c r="C1398" s="1282"/>
      <c r="D1398" s="1282"/>
      <c r="E1398" s="1282"/>
      <c r="F1398" s="1282"/>
      <c r="G1398" s="1282"/>
      <c r="H1398" s="1282"/>
      <c r="I1398" s="1282"/>
      <c r="K1398" s="909">
        <v>82400</v>
      </c>
      <c r="L1398" s="913">
        <f>SUM(L1376:L1381)</f>
        <v>10070000</v>
      </c>
    </row>
    <row r="1399" spans="11:12" s="821" customFormat="1" ht="9" customHeight="1" thickTop="1">
      <c r="K1399" s="822"/>
      <c r="L1399" s="823"/>
    </row>
    <row r="1400" spans="1:12" s="732" customFormat="1" ht="15">
      <c r="A1400" s="753"/>
      <c r="B1400" s="748" t="s">
        <v>424</v>
      </c>
      <c r="C1400" s="776"/>
      <c r="D1400" s="776"/>
      <c r="E1400" s="776"/>
      <c r="F1400" s="776"/>
      <c r="G1400" s="765"/>
      <c r="H1400" s="757"/>
      <c r="I1400" s="757"/>
      <c r="K1400" s="909"/>
      <c r="L1400" s="761"/>
    </row>
    <row r="1401" spans="1:12" s="732" customFormat="1" ht="48.75" customHeight="1">
      <c r="A1401" s="753"/>
      <c r="B1401" s="1282" t="s">
        <v>1251</v>
      </c>
      <c r="C1401" s="1282"/>
      <c r="D1401" s="1282"/>
      <c r="E1401" s="1282"/>
      <c r="F1401" s="1282"/>
      <c r="G1401" s="1282"/>
      <c r="H1401" s="1282"/>
      <c r="I1401" s="1282"/>
      <c r="K1401" s="909">
        <v>1167770</v>
      </c>
      <c r="L1401" s="761"/>
    </row>
    <row r="1402" spans="1:12" s="732" customFormat="1" ht="9" customHeight="1">
      <c r="A1402" s="753"/>
      <c r="B1402" s="856"/>
      <c r="C1402" s="856"/>
      <c r="D1402" s="856"/>
      <c r="E1402" s="856"/>
      <c r="F1402" s="856"/>
      <c r="G1402" s="856"/>
      <c r="H1402" s="856"/>
      <c r="I1402" s="856"/>
      <c r="K1402" s="909"/>
      <c r="L1402" s="761"/>
    </row>
    <row r="1403" spans="1:12" s="732" customFormat="1" ht="15">
      <c r="A1403" s="753"/>
      <c r="B1403" s="748" t="s">
        <v>257</v>
      </c>
      <c r="C1403" s="776"/>
      <c r="D1403" s="776"/>
      <c r="E1403" s="776"/>
      <c r="F1403" s="776"/>
      <c r="G1403" s="765"/>
      <c r="H1403" s="757"/>
      <c r="I1403" s="757"/>
      <c r="K1403" s="909"/>
      <c r="L1403" s="761"/>
    </row>
    <row r="1404" spans="1:12" s="732" customFormat="1" ht="48" customHeight="1">
      <c r="A1404" s="753"/>
      <c r="B1404" s="1282" t="s">
        <v>624</v>
      </c>
      <c r="C1404" s="1282"/>
      <c r="D1404" s="1282"/>
      <c r="E1404" s="1282"/>
      <c r="F1404" s="1282"/>
      <c r="G1404" s="1282"/>
      <c r="H1404" s="1282"/>
      <c r="I1404" s="1282"/>
      <c r="J1404" s="732" t="s">
        <v>1587</v>
      </c>
      <c r="K1404" s="909">
        <v>72000</v>
      </c>
      <c r="L1404" s="761"/>
    </row>
    <row r="1405" spans="1:12" s="732" customFormat="1" ht="9" customHeight="1">
      <c r="A1405" s="753"/>
      <c r="B1405" s="856"/>
      <c r="C1405" s="856"/>
      <c r="D1405" s="856"/>
      <c r="E1405" s="856"/>
      <c r="F1405" s="856"/>
      <c r="G1405" s="856"/>
      <c r="H1405" s="856"/>
      <c r="I1405" s="856"/>
      <c r="K1405" s="909"/>
      <c r="L1405" s="761"/>
    </row>
    <row r="1406" spans="1:12" s="732" customFormat="1" ht="15">
      <c r="A1406" s="753"/>
      <c r="B1406" s="748" t="s">
        <v>485</v>
      </c>
      <c r="C1406" s="776"/>
      <c r="D1406" s="776"/>
      <c r="E1406" s="776"/>
      <c r="F1406" s="776"/>
      <c r="G1406" s="765"/>
      <c r="H1406" s="757"/>
      <c r="I1406" s="757"/>
      <c r="K1406" s="909"/>
      <c r="L1406" s="761"/>
    </row>
    <row r="1407" spans="1:12" s="732" customFormat="1" ht="53.25" customHeight="1">
      <c r="A1407" s="753"/>
      <c r="B1407" s="1282" t="s">
        <v>777</v>
      </c>
      <c r="C1407" s="1284"/>
      <c r="D1407" s="1284"/>
      <c r="E1407" s="1284"/>
      <c r="F1407" s="1284"/>
      <c r="G1407" s="1284"/>
      <c r="H1407" s="1284"/>
      <c r="I1407" s="1284"/>
      <c r="K1407" s="909">
        <v>150000</v>
      </c>
      <c r="L1407" s="761"/>
    </row>
    <row r="1408" spans="1:12" s="732" customFormat="1" ht="15" customHeight="1">
      <c r="A1408" s="753"/>
      <c r="B1408" s="856"/>
      <c r="C1408" s="1207"/>
      <c r="D1408" s="1207"/>
      <c r="E1408" s="1207"/>
      <c r="F1408" s="1207"/>
      <c r="G1408" s="1207"/>
      <c r="H1408" s="1207"/>
      <c r="I1408" s="1207"/>
      <c r="K1408" s="910"/>
      <c r="L1408" s="761"/>
    </row>
    <row r="1409" spans="1:12" s="732" customFormat="1" ht="15" customHeight="1">
      <c r="A1409" s="753"/>
      <c r="B1409" s="856"/>
      <c r="C1409" s="1207"/>
      <c r="D1409" s="1207"/>
      <c r="E1409" s="1207"/>
      <c r="F1409" s="1207"/>
      <c r="G1409" s="1207"/>
      <c r="H1409" s="1207"/>
      <c r="I1409" s="1207"/>
      <c r="K1409" s="910"/>
      <c r="L1409" s="761"/>
    </row>
    <row r="1410" spans="1:12" s="732" customFormat="1" ht="15" customHeight="1">
      <c r="A1410" s="753"/>
      <c r="B1410" s="856"/>
      <c r="C1410" s="1207"/>
      <c r="D1410" s="1207"/>
      <c r="E1410" s="1207"/>
      <c r="F1410" s="1207"/>
      <c r="G1410" s="1207"/>
      <c r="H1410" s="1207"/>
      <c r="I1410" s="1207"/>
      <c r="K1410" s="910"/>
      <c r="L1410" s="761"/>
    </row>
    <row r="1411" spans="1:12" s="821" customFormat="1" ht="15">
      <c r="A1411" s="1271" t="s">
        <v>68</v>
      </c>
      <c r="B1411" s="1271"/>
      <c r="C1411" s="1271"/>
      <c r="D1411" s="1271"/>
      <c r="E1411" s="1271"/>
      <c r="F1411" s="1271"/>
      <c r="G1411" s="1271"/>
      <c r="H1411" s="1271"/>
      <c r="I1411" s="1271"/>
      <c r="K1411" s="822"/>
      <c r="L1411" s="823"/>
    </row>
    <row r="1412" spans="1:12" s="821" customFormat="1" ht="15">
      <c r="A1412" s="794"/>
      <c r="B1412" s="794"/>
      <c r="C1412" s="794"/>
      <c r="D1412" s="794"/>
      <c r="E1412" s="794"/>
      <c r="F1412" s="794"/>
      <c r="G1412" s="794"/>
      <c r="H1412" s="794"/>
      <c r="I1412" s="794"/>
      <c r="K1412" s="822"/>
      <c r="L1412" s="823"/>
    </row>
    <row r="1413" spans="1:12" s="821" customFormat="1" ht="15">
      <c r="A1413" s="794"/>
      <c r="B1413" s="794"/>
      <c r="C1413" s="794"/>
      <c r="D1413" s="794"/>
      <c r="E1413" s="794"/>
      <c r="F1413" s="794"/>
      <c r="G1413" s="794"/>
      <c r="H1413" s="794"/>
      <c r="I1413" s="794"/>
      <c r="K1413" s="822"/>
      <c r="L1413" s="823"/>
    </row>
    <row r="1414" spans="1:12" s="732" customFormat="1" ht="15">
      <c r="A1414" s="753"/>
      <c r="B1414" s="748" t="s">
        <v>626</v>
      </c>
      <c r="C1414" s="776"/>
      <c r="D1414" s="776"/>
      <c r="E1414" s="776"/>
      <c r="F1414" s="776"/>
      <c r="G1414" s="765"/>
      <c r="H1414" s="757"/>
      <c r="I1414" s="757"/>
      <c r="K1414" s="909"/>
      <c r="L1414" s="761"/>
    </row>
    <row r="1415" spans="1:12" s="732" customFormat="1" ht="62.25" customHeight="1">
      <c r="A1415" s="753"/>
      <c r="B1415" s="1282" t="s">
        <v>642</v>
      </c>
      <c r="C1415" s="1282"/>
      <c r="D1415" s="1282"/>
      <c r="E1415" s="1282"/>
      <c r="F1415" s="1282"/>
      <c r="G1415" s="1282"/>
      <c r="H1415" s="1282"/>
      <c r="I1415" s="1282"/>
      <c r="K1415" s="909">
        <v>3200000</v>
      </c>
      <c r="L1415" s="761"/>
    </row>
    <row r="1416" spans="1:12" s="732" customFormat="1" ht="9" customHeight="1">
      <c r="A1416" s="753"/>
      <c r="B1416" s="856"/>
      <c r="C1416" s="856"/>
      <c r="D1416" s="856"/>
      <c r="E1416" s="856"/>
      <c r="F1416" s="856"/>
      <c r="G1416" s="856"/>
      <c r="H1416" s="856"/>
      <c r="I1416" s="856"/>
      <c r="K1416" s="909"/>
      <c r="L1416" s="761"/>
    </row>
    <row r="1417" spans="1:12" s="748" customFormat="1" ht="15">
      <c r="A1417" s="753"/>
      <c r="B1417" s="906" t="s">
        <v>486</v>
      </c>
      <c r="C1417" s="906"/>
      <c r="D1417" s="906"/>
      <c r="E1417" s="906"/>
      <c r="F1417" s="906"/>
      <c r="G1417" s="876"/>
      <c r="H1417" s="906"/>
      <c r="I1417" s="776"/>
      <c r="K1417" s="909"/>
      <c r="L1417" s="842"/>
    </row>
    <row r="1418" spans="1:12" s="732" customFormat="1" ht="36" customHeight="1">
      <c r="A1418" s="753"/>
      <c r="B1418" s="1282" t="s">
        <v>1252</v>
      </c>
      <c r="C1418" s="1282"/>
      <c r="D1418" s="1282"/>
      <c r="E1418" s="1282"/>
      <c r="F1418" s="1282"/>
      <c r="G1418" s="1282"/>
      <c r="H1418" s="1282"/>
      <c r="I1418" s="1282"/>
      <c r="K1418" s="909">
        <v>12328</v>
      </c>
      <c r="L1418" s="761"/>
    </row>
    <row r="1419" spans="1:12" s="732" customFormat="1" ht="9" customHeight="1">
      <c r="A1419" s="753"/>
      <c r="B1419" s="856"/>
      <c r="C1419" s="856"/>
      <c r="D1419" s="856"/>
      <c r="E1419" s="856"/>
      <c r="F1419" s="856"/>
      <c r="G1419" s="856"/>
      <c r="H1419" s="856"/>
      <c r="I1419" s="856"/>
      <c r="K1419" s="910"/>
      <c r="L1419" s="761"/>
    </row>
    <row r="1420" spans="1:12" s="732" customFormat="1" ht="15">
      <c r="A1420" s="753"/>
      <c r="B1420" s="906" t="s">
        <v>628</v>
      </c>
      <c r="C1420" s="856"/>
      <c r="D1420" s="856"/>
      <c r="E1420" s="856"/>
      <c r="F1420" s="856"/>
      <c r="G1420" s="856"/>
      <c r="H1420" s="856"/>
      <c r="I1420" s="856"/>
      <c r="K1420" s="910"/>
      <c r="L1420" s="761"/>
    </row>
    <row r="1421" spans="1:12" s="732" customFormat="1" ht="53.25" customHeight="1">
      <c r="A1421" s="753"/>
      <c r="B1421" s="1282" t="s">
        <v>643</v>
      </c>
      <c r="C1421" s="1282"/>
      <c r="D1421" s="1282"/>
      <c r="E1421" s="1282"/>
      <c r="F1421" s="1282"/>
      <c r="G1421" s="1282"/>
      <c r="H1421" s="1282"/>
      <c r="I1421" s="1282"/>
      <c r="K1421" s="910">
        <v>11000000</v>
      </c>
      <c r="L1421" s="761"/>
    </row>
    <row r="1422" spans="1:12" s="732" customFormat="1" ht="9" customHeight="1">
      <c r="A1422" s="753"/>
      <c r="B1422" s="748"/>
      <c r="C1422" s="776"/>
      <c r="D1422" s="776"/>
      <c r="E1422" s="776"/>
      <c r="F1422" s="776"/>
      <c r="G1422" s="765"/>
      <c r="H1422" s="757"/>
      <c r="I1422" s="757"/>
      <c r="K1422" s="760"/>
      <c r="L1422" s="761"/>
    </row>
    <row r="1423" spans="1:12" s="732" customFormat="1" ht="15">
      <c r="A1423" s="753">
        <f>A1371+1</f>
        <v>33</v>
      </c>
      <c r="B1423" s="871" t="s">
        <v>168</v>
      </c>
      <c r="C1423" s="797"/>
      <c r="D1423" s="797"/>
      <c r="E1423" s="797"/>
      <c r="F1423" s="797"/>
      <c r="G1423" s="829"/>
      <c r="H1423" s="914"/>
      <c r="I1423" s="757"/>
      <c r="J1423" s="732" t="s">
        <v>460</v>
      </c>
      <c r="K1423" s="760"/>
      <c r="L1423" s="761"/>
    </row>
    <row r="1424" spans="1:12" s="732" customFormat="1" ht="9" customHeight="1">
      <c r="A1424" s="753"/>
      <c r="B1424" s="871"/>
      <c r="C1424" s="797"/>
      <c r="D1424" s="797"/>
      <c r="E1424" s="797"/>
      <c r="F1424" s="797"/>
      <c r="G1424" s="829"/>
      <c r="H1424" s="914"/>
      <c r="I1424" s="757"/>
      <c r="K1424" s="760"/>
      <c r="L1424" s="761"/>
    </row>
    <row r="1425" spans="1:12" s="732" customFormat="1" ht="15">
      <c r="A1425" s="753"/>
      <c r="B1425" s="754" t="s">
        <v>169</v>
      </c>
      <c r="C1425" s="797"/>
      <c r="D1425" s="797"/>
      <c r="E1425" s="797"/>
      <c r="F1425" s="797"/>
      <c r="G1425" s="764">
        <v>140000</v>
      </c>
      <c r="H1425" s="914"/>
      <c r="I1425" s="764">
        <v>140000</v>
      </c>
      <c r="J1425" s="732" t="s">
        <v>347</v>
      </c>
      <c r="K1425" s="760"/>
      <c r="L1425" s="761"/>
    </row>
    <row r="1426" spans="1:12" s="732" customFormat="1" ht="15">
      <c r="A1426" s="753"/>
      <c r="B1426" s="754" t="s">
        <v>170</v>
      </c>
      <c r="C1426" s="797"/>
      <c r="D1426" s="797"/>
      <c r="E1426" s="797"/>
      <c r="F1426" s="797"/>
      <c r="G1426" s="764">
        <v>21800</v>
      </c>
      <c r="H1426" s="914"/>
      <c r="I1426" s="764">
        <v>21800</v>
      </c>
      <c r="K1426" s="760"/>
      <c r="L1426" s="761"/>
    </row>
    <row r="1427" spans="1:12" s="732" customFormat="1" ht="15">
      <c r="A1427" s="753"/>
      <c r="B1427" s="754" t="s">
        <v>487</v>
      </c>
      <c r="C1427" s="797"/>
      <c r="D1427" s="797"/>
      <c r="E1427" s="797"/>
      <c r="F1427" s="797"/>
      <c r="G1427" s="764">
        <v>130000</v>
      </c>
      <c r="H1427" s="914"/>
      <c r="I1427" s="764">
        <v>130000</v>
      </c>
      <c r="K1427" s="760"/>
      <c r="L1427" s="761"/>
    </row>
    <row r="1428" spans="1:12" s="732" customFormat="1" ht="9" customHeight="1">
      <c r="A1428" s="753"/>
      <c r="B1428" s="797"/>
      <c r="C1428" s="797"/>
      <c r="D1428" s="797"/>
      <c r="E1428" s="797"/>
      <c r="F1428" s="797"/>
      <c r="G1428" s="765"/>
      <c r="H1428" s="914"/>
      <c r="I1428" s="764"/>
      <c r="K1428" s="760"/>
      <c r="L1428" s="761"/>
    </row>
    <row r="1429" spans="1:12" s="732" customFormat="1" ht="15" customHeight="1" thickBot="1">
      <c r="A1429" s="753"/>
      <c r="B1429" s="871"/>
      <c r="C1429" s="797"/>
      <c r="D1429" s="797"/>
      <c r="E1429" s="797"/>
      <c r="F1429" s="797"/>
      <c r="G1429" s="771">
        <f>SUM(G1425:G1427)</f>
        <v>291800</v>
      </c>
      <c r="H1429" s="914"/>
      <c r="I1429" s="779">
        <v>291800</v>
      </c>
      <c r="K1429" s="760"/>
      <c r="L1429" s="761"/>
    </row>
    <row r="1430" spans="1:12" s="732" customFormat="1" ht="15.75" thickTop="1">
      <c r="A1430" s="824">
        <v>34</v>
      </c>
      <c r="B1430" s="795" t="s">
        <v>1567</v>
      </c>
      <c r="C1430" s="776"/>
      <c r="D1430" s="776"/>
      <c r="E1430" s="1273"/>
      <c r="F1430" s="1273"/>
      <c r="G1430" s="1273"/>
      <c r="H1430" s="815"/>
      <c r="I1430" s="776"/>
      <c r="K1430" s="760"/>
      <c r="L1430" s="761"/>
    </row>
    <row r="1431" spans="1:12" s="732" customFormat="1" ht="9" customHeight="1">
      <c r="A1431" s="824"/>
      <c r="B1431" s="776"/>
      <c r="C1431" s="776"/>
      <c r="D1431" s="776"/>
      <c r="E1431" s="1273"/>
      <c r="F1431" s="1273"/>
      <c r="G1431" s="1273"/>
      <c r="H1431" s="815"/>
      <c r="I1431" s="776"/>
      <c r="K1431" s="760"/>
      <c r="L1431" s="761"/>
    </row>
    <row r="1432" spans="1:12" s="732" customFormat="1" ht="15">
      <c r="A1432" s="824"/>
      <c r="B1432" s="1274" t="s">
        <v>1253</v>
      </c>
      <c r="C1432" s="1275"/>
      <c r="D1432" s="1275"/>
      <c r="E1432" s="1275"/>
      <c r="F1432" s="1276"/>
      <c r="G1432" s="1276"/>
      <c r="H1432" s="1276"/>
      <c r="I1432" s="1276"/>
      <c r="K1432" s="760"/>
      <c r="L1432" s="761"/>
    </row>
    <row r="1433" spans="1:12" s="732" customFormat="1" ht="9" customHeight="1">
      <c r="A1433" s="753"/>
      <c r="B1433" s="754"/>
      <c r="C1433" s="754"/>
      <c r="D1433" s="754"/>
      <c r="E1433" s="755"/>
      <c r="F1433" s="754"/>
      <c r="G1433" s="756"/>
      <c r="H1433" s="757"/>
      <c r="I1433" s="754"/>
      <c r="K1433" s="760"/>
      <c r="L1433" s="761"/>
    </row>
    <row r="1434" spans="1:12" s="732" customFormat="1" ht="15">
      <c r="A1434" s="824">
        <v>35</v>
      </c>
      <c r="B1434" s="748" t="s">
        <v>902</v>
      </c>
      <c r="C1434" s="754"/>
      <c r="D1434" s="754"/>
      <c r="E1434" s="755"/>
      <c r="F1434" s="754"/>
      <c r="G1434" s="756"/>
      <c r="H1434" s="757"/>
      <c r="I1434" s="754"/>
      <c r="K1434" s="760"/>
      <c r="L1434" s="761"/>
    </row>
    <row r="1435" spans="1:12" s="732" customFormat="1" ht="9" customHeight="1">
      <c r="A1435" s="753"/>
      <c r="B1435" s="754"/>
      <c r="C1435" s="754"/>
      <c r="D1435" s="754"/>
      <c r="E1435" s="755"/>
      <c r="F1435" s="754"/>
      <c r="G1435" s="756"/>
      <c r="H1435" s="757"/>
      <c r="I1435" s="754"/>
      <c r="K1435" s="760"/>
      <c r="L1435" s="761"/>
    </row>
    <row r="1436" spans="1:12" s="732" customFormat="1" ht="15">
      <c r="A1436" s="753"/>
      <c r="B1436" s="748" t="s">
        <v>898</v>
      </c>
      <c r="C1436" s="754"/>
      <c r="D1436" s="754"/>
      <c r="E1436" s="755"/>
      <c r="F1436" s="754"/>
      <c r="G1436" s="756"/>
      <c r="H1436" s="757"/>
      <c r="I1436" s="754"/>
      <c r="K1436" s="760"/>
      <c r="L1436" s="761"/>
    </row>
    <row r="1437" spans="1:12" s="732" customFormat="1" ht="9" customHeight="1">
      <c r="A1437" s="753"/>
      <c r="B1437" s="748"/>
      <c r="C1437" s="754"/>
      <c r="D1437" s="754"/>
      <c r="E1437" s="755"/>
      <c r="F1437" s="754"/>
      <c r="G1437" s="756"/>
      <c r="H1437" s="757"/>
      <c r="I1437" s="754"/>
      <c r="K1437" s="760"/>
      <c r="L1437" s="761"/>
    </row>
    <row r="1438" spans="1:12" s="732" customFormat="1" ht="36.75" customHeight="1">
      <c r="A1438" s="753"/>
      <c r="B1438" s="1274" t="s">
        <v>1057</v>
      </c>
      <c r="C1438" s="1275"/>
      <c r="D1438" s="1275"/>
      <c r="E1438" s="1275"/>
      <c r="F1438" s="1276"/>
      <c r="G1438" s="1276"/>
      <c r="H1438" s="1276"/>
      <c r="I1438" s="1276"/>
      <c r="K1438" s="760"/>
      <c r="L1438" s="761"/>
    </row>
    <row r="1439" spans="1:12" s="732" customFormat="1" ht="9" customHeight="1">
      <c r="A1439" s="753"/>
      <c r="C1439" s="754"/>
      <c r="D1439" s="754"/>
      <c r="E1439" s="755"/>
      <c r="F1439" s="754"/>
      <c r="G1439" s="756"/>
      <c r="H1439" s="757"/>
      <c r="I1439" s="754"/>
      <c r="K1439" s="760"/>
      <c r="L1439" s="761"/>
    </row>
    <row r="1440" spans="1:12" s="732" customFormat="1" ht="15" customHeight="1">
      <c r="A1440" s="753"/>
      <c r="B1440" s="1274" t="s">
        <v>899</v>
      </c>
      <c r="C1440" s="1275"/>
      <c r="D1440" s="1275"/>
      <c r="E1440" s="1275"/>
      <c r="F1440" s="1274"/>
      <c r="G1440" s="1275"/>
      <c r="H1440" s="1275"/>
      <c r="I1440" s="1275"/>
      <c r="K1440" s="760"/>
      <c r="L1440" s="761"/>
    </row>
    <row r="1441" spans="1:12" s="732" customFormat="1" ht="9" customHeight="1">
      <c r="A1441" s="753"/>
      <c r="B1441" s="1273"/>
      <c r="C1441" s="1273"/>
      <c r="D1441" s="1273"/>
      <c r="E1441" s="1273"/>
      <c r="F1441" s="1273"/>
      <c r="G1441" s="1273"/>
      <c r="H1441" s="1273"/>
      <c r="I1441" s="1273"/>
      <c r="K1441" s="760"/>
      <c r="L1441" s="761"/>
    </row>
    <row r="1442" spans="1:12" s="732" customFormat="1" ht="15">
      <c r="A1442" s="753"/>
      <c r="B1442" s="748" t="s">
        <v>900</v>
      </c>
      <c r="C1442" s="754"/>
      <c r="D1442" s="754"/>
      <c r="E1442" s="755"/>
      <c r="F1442" s="754"/>
      <c r="G1442" s="756"/>
      <c r="H1442" s="757"/>
      <c r="I1442" s="754"/>
      <c r="K1442" s="760"/>
      <c r="L1442" s="761"/>
    </row>
    <row r="1443" spans="1:12" s="732" customFormat="1" ht="9" customHeight="1">
      <c r="A1443" s="753"/>
      <c r="B1443" s="748"/>
      <c r="C1443" s="754"/>
      <c r="D1443" s="754"/>
      <c r="E1443" s="755"/>
      <c r="F1443" s="754"/>
      <c r="G1443" s="756"/>
      <c r="H1443" s="757"/>
      <c r="I1443" s="754"/>
      <c r="K1443" s="760"/>
      <c r="L1443" s="761"/>
    </row>
    <row r="1444" spans="1:12" s="732" customFormat="1" ht="35.25" customHeight="1">
      <c r="A1444" s="753"/>
      <c r="B1444" s="1274" t="s">
        <v>89</v>
      </c>
      <c r="C1444" s="1275"/>
      <c r="D1444" s="1275"/>
      <c r="E1444" s="1275"/>
      <c r="F1444" s="1276"/>
      <c r="G1444" s="1276"/>
      <c r="H1444" s="1276"/>
      <c r="I1444" s="1276"/>
      <c r="K1444" s="760"/>
      <c r="L1444" s="761"/>
    </row>
    <row r="1446" spans="1:12" s="732" customFormat="1" ht="9" customHeight="1">
      <c r="A1446" s="753"/>
      <c r="C1446" s="754"/>
      <c r="D1446" s="754"/>
      <c r="E1446" s="755"/>
      <c r="F1446" s="754"/>
      <c r="G1446" s="756"/>
      <c r="H1446" s="757"/>
      <c r="I1446" s="754"/>
      <c r="K1446" s="760"/>
      <c r="L1446" s="761"/>
    </row>
    <row r="1447" spans="1:12" s="732" customFormat="1" ht="15">
      <c r="A1447" s="753"/>
      <c r="B1447" s="748" t="s">
        <v>901</v>
      </c>
      <c r="C1447" s="754"/>
      <c r="D1447" s="754"/>
      <c r="E1447" s="755"/>
      <c r="F1447" s="754"/>
      <c r="G1447" s="756"/>
      <c r="H1447" s="757"/>
      <c r="I1447" s="754"/>
      <c r="K1447" s="760"/>
      <c r="L1447" s="761"/>
    </row>
    <row r="1448" spans="1:12" s="732" customFormat="1" ht="9" customHeight="1">
      <c r="A1448" s="753"/>
      <c r="B1448" s="748"/>
      <c r="C1448" s="754"/>
      <c r="D1448" s="754"/>
      <c r="E1448" s="755"/>
      <c r="F1448" s="754"/>
      <c r="G1448" s="756"/>
      <c r="H1448" s="757"/>
      <c r="I1448" s="754"/>
      <c r="K1448" s="760"/>
      <c r="L1448" s="761"/>
    </row>
    <row r="1449" spans="1:12" s="732" customFormat="1" ht="20.25" customHeight="1">
      <c r="A1449" s="753"/>
      <c r="B1449" s="1274" t="s">
        <v>73</v>
      </c>
      <c r="C1449" s="1275"/>
      <c r="D1449" s="1275"/>
      <c r="E1449" s="1275"/>
      <c r="F1449" s="1276"/>
      <c r="G1449" s="1276"/>
      <c r="H1449" s="1276"/>
      <c r="I1449" s="1276"/>
      <c r="K1449" s="760"/>
      <c r="L1449" s="761"/>
    </row>
    <row r="1450" spans="1:12" s="732" customFormat="1" ht="9" customHeight="1">
      <c r="A1450" s="753"/>
      <c r="C1450" s="754"/>
      <c r="D1450" s="754"/>
      <c r="E1450" s="755"/>
      <c r="F1450" s="754"/>
      <c r="G1450" s="756"/>
      <c r="H1450" s="757"/>
      <c r="I1450" s="754"/>
      <c r="K1450" s="760"/>
      <c r="L1450" s="761"/>
    </row>
    <row r="1451" spans="1:12" s="732" customFormat="1" ht="15">
      <c r="A1451" s="753"/>
      <c r="B1451" s="1274" t="s">
        <v>1341</v>
      </c>
      <c r="C1451" s="1275"/>
      <c r="D1451" s="1275"/>
      <c r="E1451" s="1275"/>
      <c r="F1451" s="1276"/>
      <c r="G1451" s="1276"/>
      <c r="H1451" s="1276"/>
      <c r="I1451" s="1276"/>
      <c r="K1451" s="760"/>
      <c r="L1451" s="761"/>
    </row>
    <row r="1453" spans="1:12" s="732" customFormat="1" ht="15">
      <c r="A1453" s="753">
        <v>36</v>
      </c>
      <c r="B1453" s="755" t="s">
        <v>923</v>
      </c>
      <c r="C1453" s="752"/>
      <c r="D1453" s="752"/>
      <c r="E1453" s="750"/>
      <c r="F1453" s="752"/>
      <c r="G1453" s="915"/>
      <c r="H1453" s="916"/>
      <c r="I1453" s="752"/>
      <c r="K1453" s="760"/>
      <c r="L1453" s="761"/>
    </row>
    <row r="1454" spans="1:12" s="732" customFormat="1" ht="9" customHeight="1">
      <c r="A1454" s="753"/>
      <c r="B1454" s="755"/>
      <c r="C1454" s="752"/>
      <c r="D1454" s="752"/>
      <c r="E1454" s="750"/>
      <c r="F1454" s="752"/>
      <c r="G1454" s="915"/>
      <c r="H1454" s="916"/>
      <c r="I1454" s="752"/>
      <c r="K1454" s="760"/>
      <c r="L1454" s="761"/>
    </row>
    <row r="1455" spans="1:12" s="732" customFormat="1" ht="15">
      <c r="A1455" s="917" t="s">
        <v>1587</v>
      </c>
      <c r="B1455" s="755" t="s">
        <v>1340</v>
      </c>
      <c r="C1455" s="752"/>
      <c r="D1455" s="752"/>
      <c r="E1455" s="750"/>
      <c r="F1455" s="752"/>
      <c r="G1455" s="915"/>
      <c r="H1455" s="916"/>
      <c r="I1455" s="752"/>
      <c r="K1455" s="760"/>
      <c r="L1455" s="761"/>
    </row>
    <row r="1456" spans="1:12" s="732" customFormat="1" ht="9" customHeight="1">
      <c r="A1456" s="917"/>
      <c r="B1456" s="755"/>
      <c r="C1456" s="752"/>
      <c r="D1456" s="752"/>
      <c r="E1456" s="750"/>
      <c r="F1456" s="752"/>
      <c r="G1456" s="915"/>
      <c r="H1456" s="916"/>
      <c r="I1456" s="752"/>
      <c r="K1456" s="760"/>
      <c r="L1456" s="761"/>
    </row>
    <row r="1457" spans="1:12" s="732" customFormat="1" ht="15">
      <c r="A1457" s="753"/>
      <c r="B1457" s="755" t="s">
        <v>924</v>
      </c>
      <c r="C1457" s="752"/>
      <c r="D1457" s="752"/>
      <c r="E1457" s="750"/>
      <c r="F1457" s="752"/>
      <c r="G1457" s="915"/>
      <c r="H1457" s="916"/>
      <c r="I1457" s="752"/>
      <c r="K1457" s="760"/>
      <c r="L1457" s="761"/>
    </row>
    <row r="1458" spans="1:12" s="732" customFormat="1" ht="9" customHeight="1">
      <c r="A1458" s="753"/>
      <c r="B1458" s="755"/>
      <c r="C1458" s="752"/>
      <c r="D1458" s="752"/>
      <c r="E1458" s="750"/>
      <c r="F1458" s="752"/>
      <c r="G1458" s="915"/>
      <c r="H1458" s="916"/>
      <c r="I1458" s="752"/>
      <c r="K1458" s="760"/>
      <c r="L1458" s="761"/>
    </row>
    <row r="1459" spans="1:12" s="732" customFormat="1" ht="15.75" customHeight="1">
      <c r="A1459" s="753"/>
      <c r="B1459" s="1273" t="s">
        <v>1254</v>
      </c>
      <c r="C1459" s="1273"/>
      <c r="D1459" s="1273"/>
      <c r="E1459" s="1273"/>
      <c r="F1459" s="1273"/>
      <c r="G1459" s="1273"/>
      <c r="H1459" s="1273"/>
      <c r="I1459" s="1273"/>
      <c r="K1459" s="760"/>
      <c r="L1459" s="761"/>
    </row>
    <row r="1460" spans="1:12" s="732" customFormat="1" ht="15">
      <c r="A1460" s="753"/>
      <c r="B1460" s="776" t="s">
        <v>1255</v>
      </c>
      <c r="C1460" s="776"/>
      <c r="D1460" s="776"/>
      <c r="E1460" s="776"/>
      <c r="F1460" s="776"/>
      <c r="G1460" s="776"/>
      <c r="H1460" s="776"/>
      <c r="I1460" s="776"/>
      <c r="K1460" s="760"/>
      <c r="L1460" s="761"/>
    </row>
    <row r="1461" spans="1:12" s="732" customFormat="1" ht="9" customHeight="1">
      <c r="A1461" s="753"/>
      <c r="B1461" s="776"/>
      <c r="C1461" s="776"/>
      <c r="D1461" s="776"/>
      <c r="E1461" s="776"/>
      <c r="F1461" s="776"/>
      <c r="G1461" s="776"/>
      <c r="H1461" s="776"/>
      <c r="I1461" s="776"/>
      <c r="K1461" s="760"/>
      <c r="L1461" s="761"/>
    </row>
    <row r="1462" spans="1:12" s="732" customFormat="1" ht="15">
      <c r="A1462" s="753"/>
      <c r="B1462" s="755" t="s">
        <v>925</v>
      </c>
      <c r="C1462" s="752"/>
      <c r="D1462" s="752"/>
      <c r="E1462" s="750"/>
      <c r="F1462" s="752"/>
      <c r="G1462" s="915"/>
      <c r="H1462" s="916"/>
      <c r="I1462" s="752"/>
      <c r="K1462" s="760"/>
      <c r="L1462" s="761"/>
    </row>
    <row r="1463" spans="1:9" ht="9" customHeight="1">
      <c r="A1463" s="753"/>
      <c r="B1463" s="757"/>
      <c r="C1463" s="916"/>
      <c r="D1463" s="916"/>
      <c r="E1463" s="918"/>
      <c r="F1463" s="916"/>
      <c r="G1463" s="920"/>
      <c r="H1463" s="916"/>
      <c r="I1463" s="916"/>
    </row>
    <row r="1464" spans="1:9" ht="15">
      <c r="A1464" s="753"/>
      <c r="B1464" s="727" t="s">
        <v>738</v>
      </c>
      <c r="C1464" s="916"/>
      <c r="D1464" s="916"/>
      <c r="E1464" s="918"/>
      <c r="F1464" s="916"/>
      <c r="G1464" s="921">
        <v>7532186</v>
      </c>
      <c r="H1464" s="916"/>
      <c r="I1464" s="922">
        <v>10779955</v>
      </c>
    </row>
    <row r="1465" spans="1:9" ht="15">
      <c r="A1465" s="753"/>
      <c r="B1465" s="727" t="s">
        <v>739</v>
      </c>
      <c r="C1465" s="916"/>
      <c r="D1465" s="916"/>
      <c r="E1465" s="918"/>
      <c r="F1465" s="916"/>
      <c r="G1465" s="921">
        <v>613356</v>
      </c>
      <c r="H1465" s="916"/>
      <c r="I1465" s="922">
        <v>8145541</v>
      </c>
    </row>
    <row r="1466" spans="1:9" ht="15">
      <c r="A1466" s="753"/>
      <c r="B1466" s="727" t="s">
        <v>740</v>
      </c>
      <c r="C1466" s="916"/>
      <c r="D1466" s="916"/>
      <c r="E1466" s="918"/>
      <c r="F1466" s="916"/>
      <c r="G1466" s="921">
        <v>0</v>
      </c>
      <c r="H1466" s="916"/>
      <c r="I1466" s="922">
        <v>0</v>
      </c>
    </row>
    <row r="1467" spans="1:9" ht="15.75" thickBot="1">
      <c r="A1467" s="753"/>
      <c r="B1467" s="727" t="s">
        <v>1178</v>
      </c>
      <c r="C1467" s="916"/>
      <c r="D1467" s="916"/>
      <c r="E1467" s="918"/>
      <c r="F1467" s="916"/>
      <c r="G1467" s="923">
        <f>SUM(G1464:G1466)</f>
        <v>8145542</v>
      </c>
      <c r="H1467" s="916"/>
      <c r="I1467" s="1202">
        <f>SUM(I1464:I1466)</f>
        <v>18925496</v>
      </c>
    </row>
    <row r="1468" spans="1:8" ht="9" customHeight="1" thickTop="1">
      <c r="A1468" s="753"/>
      <c r="B1468" s="757"/>
      <c r="C1468" s="916"/>
      <c r="D1468" s="916"/>
      <c r="E1468" s="918"/>
      <c r="F1468" s="916"/>
      <c r="G1468" s="915"/>
      <c r="H1468" s="916"/>
    </row>
    <row r="1469" spans="1:9" ht="9" customHeight="1">
      <c r="A1469" s="753"/>
      <c r="B1469" s="757"/>
      <c r="C1469" s="916"/>
      <c r="D1469" s="916"/>
      <c r="E1469" s="918"/>
      <c r="F1469" s="916"/>
      <c r="G1469" s="919"/>
      <c r="H1469" s="916"/>
      <c r="I1469" s="916"/>
    </row>
    <row r="1470" spans="1:8" ht="33" customHeight="1">
      <c r="A1470" s="753"/>
      <c r="B1470" s="1246" t="s">
        <v>98</v>
      </c>
      <c r="C1470" s="1246"/>
      <c r="D1470" s="1246"/>
      <c r="E1470" s="1246"/>
      <c r="F1470" s="916"/>
      <c r="G1470" s="915"/>
      <c r="H1470" s="916"/>
    </row>
    <row r="1471" spans="1:8" ht="9" customHeight="1">
      <c r="A1471" s="753"/>
      <c r="B1471" s="815"/>
      <c r="C1471" s="815"/>
      <c r="D1471" s="815"/>
      <c r="E1471" s="815"/>
      <c r="F1471" s="916"/>
      <c r="G1471" s="915"/>
      <c r="H1471" s="916"/>
    </row>
    <row r="1472" spans="1:9" ht="16.5" customHeight="1" thickBot="1">
      <c r="A1472" s="753"/>
      <c r="B1472" s="757" t="s">
        <v>926</v>
      </c>
      <c r="C1472" s="916"/>
      <c r="D1472" s="916"/>
      <c r="E1472" s="918"/>
      <c r="F1472" s="916"/>
      <c r="G1472" s="1163">
        <v>12026264</v>
      </c>
      <c r="H1472" s="918"/>
      <c r="I1472" s="1181">
        <v>11739110</v>
      </c>
    </row>
    <row r="1473" spans="1:8" ht="15.75" thickTop="1">
      <c r="A1473" s="753"/>
      <c r="B1473" s="755" t="s">
        <v>927</v>
      </c>
      <c r="C1473" s="752"/>
      <c r="D1473" s="752"/>
      <c r="E1473" s="750"/>
      <c r="F1473" s="752"/>
      <c r="G1473" s="915"/>
      <c r="H1473" s="916"/>
    </row>
    <row r="1474" spans="1:8" ht="9" customHeight="1">
      <c r="A1474" s="753"/>
      <c r="B1474" s="755"/>
      <c r="C1474" s="752"/>
      <c r="D1474" s="752"/>
      <c r="E1474" s="750"/>
      <c r="F1474" s="752"/>
      <c r="G1474" s="915"/>
      <c r="H1474" s="916"/>
    </row>
    <row r="1475" spans="1:8" ht="18" customHeight="1">
      <c r="A1475" s="753"/>
      <c r="B1475" s="754" t="s">
        <v>71</v>
      </c>
      <c r="C1475" s="752"/>
      <c r="D1475" s="752"/>
      <c r="E1475" s="750"/>
      <c r="F1475" s="752"/>
      <c r="G1475" s="915"/>
      <c r="H1475" s="916"/>
    </row>
    <row r="1476" spans="1:8" ht="9" customHeight="1">
      <c r="A1476" s="753"/>
      <c r="B1476" s="754"/>
      <c r="C1476" s="752"/>
      <c r="D1476" s="752"/>
      <c r="E1476" s="750"/>
      <c r="F1476" s="752"/>
      <c r="G1476" s="915"/>
      <c r="H1476" s="916"/>
    </row>
    <row r="1477" spans="1:8" ht="15">
      <c r="A1477" s="753"/>
      <c r="B1477" s="754" t="s">
        <v>928</v>
      </c>
      <c r="C1477" s="752"/>
      <c r="D1477" s="752"/>
      <c r="E1477" s="750"/>
      <c r="F1477" s="752"/>
      <c r="G1477" s="915"/>
      <c r="H1477" s="916"/>
    </row>
    <row r="1478" spans="1:8" ht="9" customHeight="1">
      <c r="A1478" s="753"/>
      <c r="B1478" s="754"/>
      <c r="C1478" s="752"/>
      <c r="D1478" s="752"/>
      <c r="E1478" s="750"/>
      <c r="F1478" s="752"/>
      <c r="G1478" s="915"/>
      <c r="H1478" s="916"/>
    </row>
    <row r="1479" spans="1:9" ht="34.5" customHeight="1">
      <c r="A1479" s="753"/>
      <c r="B1479" s="1273" t="s">
        <v>929</v>
      </c>
      <c r="C1479" s="1273"/>
      <c r="D1479" s="1273"/>
      <c r="E1479" s="1273"/>
      <c r="F1479" s="776"/>
      <c r="G1479" s="776"/>
      <c r="H1479" s="776"/>
      <c r="I1479" s="776"/>
    </row>
    <row r="1480" spans="1:9" ht="9" customHeight="1">
      <c r="A1480" s="753"/>
      <c r="B1480" s="776"/>
      <c r="C1480" s="776"/>
      <c r="D1480" s="776"/>
      <c r="E1480" s="776"/>
      <c r="F1480" s="776"/>
      <c r="G1480" s="776"/>
      <c r="H1480" s="776"/>
      <c r="I1480" s="776"/>
    </row>
    <row r="1481" spans="1:8" ht="15">
      <c r="A1481" s="753"/>
      <c r="B1481" s="754" t="s">
        <v>1058</v>
      </c>
      <c r="C1481" s="752"/>
      <c r="D1481" s="752"/>
      <c r="E1481" s="750"/>
      <c r="F1481" s="752"/>
      <c r="G1481" s="915"/>
      <c r="H1481" s="916"/>
    </row>
    <row r="1482" spans="1:8" ht="15">
      <c r="A1482" s="753"/>
      <c r="B1482" s="754"/>
      <c r="C1482" s="752"/>
      <c r="D1482" s="752"/>
      <c r="E1482" s="750"/>
      <c r="F1482" s="752"/>
      <c r="G1482" s="915"/>
      <c r="H1482" s="916"/>
    </row>
    <row r="1483" spans="1:9" ht="9" customHeight="1">
      <c r="A1483" s="917"/>
      <c r="B1483" s="755"/>
      <c r="C1483" s="752"/>
      <c r="D1483" s="752"/>
      <c r="E1483" s="750"/>
      <c r="F1483" s="752"/>
      <c r="G1483" s="915"/>
      <c r="H1483" s="916"/>
      <c r="I1483" s="727"/>
    </row>
    <row r="1485" spans="1:12" s="821" customFormat="1" ht="15">
      <c r="A1485" s="794"/>
      <c r="B1485" s="794"/>
      <c r="C1485" s="794"/>
      <c r="D1485" s="794"/>
      <c r="E1485" s="794"/>
      <c r="F1485" s="794"/>
      <c r="G1485" s="794"/>
      <c r="H1485" s="794"/>
      <c r="I1485" s="794"/>
      <c r="K1485" s="822"/>
      <c r="L1485" s="823"/>
    </row>
    <row r="1486" spans="1:12" s="821" customFormat="1" ht="15">
      <c r="A1486" s="794"/>
      <c r="B1486" s="794"/>
      <c r="C1486" s="794"/>
      <c r="D1486" s="794"/>
      <c r="E1486" s="794"/>
      <c r="F1486" s="794"/>
      <c r="G1486" s="794"/>
      <c r="H1486" s="794"/>
      <c r="I1486" s="794"/>
      <c r="K1486" s="822"/>
      <c r="L1486" s="823"/>
    </row>
    <row r="1487" spans="1:8" ht="15">
      <c r="A1487" s="753"/>
      <c r="B1487" s="754"/>
      <c r="C1487" s="752"/>
      <c r="D1487" s="752"/>
      <c r="E1487" s="750"/>
      <c r="F1487" s="752"/>
      <c r="G1487" s="915"/>
      <c r="H1487" s="916"/>
    </row>
    <row r="1488" spans="9:12" s="821" customFormat="1" ht="9" customHeight="1">
      <c r="I1488" s="1189"/>
      <c r="K1488" s="822"/>
      <c r="L1488" s="823"/>
    </row>
    <row r="1489" spans="1:9" ht="15">
      <c r="A1489" s="753">
        <v>37</v>
      </c>
      <c r="B1489" s="755" t="s">
        <v>1046</v>
      </c>
      <c r="C1489" s="754"/>
      <c r="D1489" s="754"/>
      <c r="E1489" s="781"/>
      <c r="F1489" s="754"/>
      <c r="G1489" s="756"/>
      <c r="H1489" s="757"/>
      <c r="I1489" s="754"/>
    </row>
    <row r="1490" spans="1:9" ht="9" customHeight="1">
      <c r="A1490" s="753"/>
      <c r="B1490" s="755"/>
      <c r="C1490" s="754"/>
      <c r="D1490" s="754"/>
      <c r="E1490" s="781"/>
      <c r="F1490" s="754"/>
      <c r="G1490" s="756"/>
      <c r="H1490" s="757"/>
      <c r="I1490" s="754"/>
    </row>
    <row r="1491" spans="1:9" ht="34.5" customHeight="1">
      <c r="A1491" s="753"/>
      <c r="B1491" s="1273" t="s">
        <v>70</v>
      </c>
      <c r="C1491" s="1273"/>
      <c r="D1491" s="1273"/>
      <c r="E1491" s="1273"/>
      <c r="F1491" s="754"/>
      <c r="G1491" s="756"/>
      <c r="H1491" s="757"/>
      <c r="I1491" s="754"/>
    </row>
    <row r="1492" spans="1:12" s="821" customFormat="1" ht="15">
      <c r="A1492" s="794"/>
      <c r="B1492" s="794"/>
      <c r="C1492" s="794"/>
      <c r="D1492" s="794"/>
      <c r="E1492" s="794"/>
      <c r="F1492" s="794"/>
      <c r="G1492" s="794"/>
      <c r="H1492" s="794"/>
      <c r="I1492" s="1175"/>
      <c r="K1492" s="822"/>
      <c r="L1492" s="823"/>
    </row>
    <row r="1493" spans="1:12" s="732" customFormat="1" ht="15">
      <c r="A1493" s="824">
        <v>38</v>
      </c>
      <c r="B1493" s="755" t="s">
        <v>857</v>
      </c>
      <c r="C1493" s="754"/>
      <c r="D1493" s="754"/>
      <c r="E1493" s="755"/>
      <c r="F1493" s="754"/>
      <c r="G1493" s="756"/>
      <c r="H1493" s="757"/>
      <c r="I1493" s="754"/>
      <c r="K1493" s="760"/>
      <c r="L1493" s="761"/>
    </row>
    <row r="1494" spans="1:12" s="732" customFormat="1" ht="9" customHeight="1">
      <c r="A1494" s="824"/>
      <c r="B1494" s="755"/>
      <c r="C1494" s="754"/>
      <c r="D1494" s="754"/>
      <c r="E1494" s="755"/>
      <c r="F1494" s="754"/>
      <c r="G1494" s="756"/>
      <c r="H1494" s="757"/>
      <c r="I1494" s="754"/>
      <c r="K1494" s="760"/>
      <c r="L1494" s="761"/>
    </row>
    <row r="1495" spans="1:12" s="732" customFormat="1" ht="18" customHeight="1">
      <c r="A1495" s="753"/>
      <c r="B1495" s="1273" t="s">
        <v>138</v>
      </c>
      <c r="C1495" s="1273"/>
      <c r="D1495" s="1273"/>
      <c r="E1495" s="1273"/>
      <c r="F1495" s="1273"/>
      <c r="G1495" s="1273"/>
      <c r="H1495" s="1273"/>
      <c r="I1495" s="1273"/>
      <c r="K1495" s="760"/>
      <c r="L1495" s="761"/>
    </row>
    <row r="1496" spans="1:12" s="732" customFormat="1" ht="18" customHeight="1">
      <c r="A1496" s="753"/>
      <c r="B1496" s="776"/>
      <c r="C1496" s="776"/>
      <c r="D1496" s="776"/>
      <c r="E1496" s="776"/>
      <c r="F1496" s="776"/>
      <c r="G1496" s="776"/>
      <c r="H1496" s="776"/>
      <c r="I1496" s="776"/>
      <c r="K1496" s="760"/>
      <c r="L1496" s="761"/>
    </row>
    <row r="1497" spans="1:12" s="732" customFormat="1" ht="18" customHeight="1">
      <c r="A1497" s="753"/>
      <c r="B1497" s="776"/>
      <c r="C1497" s="776"/>
      <c r="D1497" s="776"/>
      <c r="E1497" s="776"/>
      <c r="F1497" s="776"/>
      <c r="G1497" s="776"/>
      <c r="H1497" s="776"/>
      <c r="I1497" s="776"/>
      <c r="K1497" s="760"/>
      <c r="L1497" s="761"/>
    </row>
    <row r="1498" spans="1:12" s="732" customFormat="1" ht="18" customHeight="1">
      <c r="A1498" s="753"/>
      <c r="B1498" s="776"/>
      <c r="C1498" s="776"/>
      <c r="D1498" s="776"/>
      <c r="E1498" s="776"/>
      <c r="F1498" s="776"/>
      <c r="G1498" s="776"/>
      <c r="H1498" s="776"/>
      <c r="I1498" s="776"/>
      <c r="K1498" s="760"/>
      <c r="L1498" s="761"/>
    </row>
    <row r="1499" spans="1:12" s="821" customFormat="1" ht="15">
      <c r="A1499" s="1271" t="s">
        <v>69</v>
      </c>
      <c r="B1499" s="1271"/>
      <c r="C1499" s="1271"/>
      <c r="D1499" s="1271"/>
      <c r="E1499" s="1271"/>
      <c r="F1499" s="1271"/>
      <c r="G1499" s="1271"/>
      <c r="H1499" s="1271"/>
      <c r="I1499" s="1271"/>
      <c r="K1499" s="822"/>
      <c r="L1499" s="823"/>
    </row>
    <row r="1503" spans="1:9" ht="15">
      <c r="A1503" s="753"/>
      <c r="B1503" s="754"/>
      <c r="C1503" s="754"/>
      <c r="D1503" s="754"/>
      <c r="E1503" s="755"/>
      <c r="F1503" s="754"/>
      <c r="G1503" s="756"/>
      <c r="H1503" s="757"/>
      <c r="I1503" s="754"/>
    </row>
    <row r="1504" spans="1:9" ht="15">
      <c r="A1504" s="753"/>
      <c r="B1504" s="754"/>
      <c r="C1504" s="754"/>
      <c r="D1504" s="754"/>
      <c r="E1504" s="755"/>
      <c r="F1504" s="754"/>
      <c r="G1504" s="756"/>
      <c r="H1504" s="757"/>
      <c r="I1504" s="754"/>
    </row>
    <row r="1506" spans="1:9" ht="15">
      <c r="A1506" s="753"/>
      <c r="B1506" s="754"/>
      <c r="C1506" s="754"/>
      <c r="D1506" s="754"/>
      <c r="E1506" s="755"/>
      <c r="F1506" s="754"/>
      <c r="G1506" s="756"/>
      <c r="H1506" s="757"/>
      <c r="I1506" s="754"/>
    </row>
    <row r="1507" spans="1:8" ht="15">
      <c r="A1507" s="753"/>
      <c r="B1507" s="754"/>
      <c r="C1507" s="752"/>
      <c r="D1507" s="752"/>
      <c r="E1507" s="750"/>
      <c r="F1507" s="752"/>
      <c r="H1507" s="916"/>
    </row>
    <row r="1508" spans="1:8" ht="15">
      <c r="A1508" s="753"/>
      <c r="B1508" s="754"/>
      <c r="C1508" s="752"/>
      <c r="D1508" s="752"/>
      <c r="E1508" s="750"/>
      <c r="F1508" s="752"/>
      <c r="H1508" s="916"/>
    </row>
    <row r="1509" spans="1:8" ht="15">
      <c r="A1509" s="753"/>
      <c r="B1509" s="754"/>
      <c r="C1509" s="752"/>
      <c r="D1509" s="752"/>
      <c r="E1509" s="750"/>
      <c r="F1509" s="752"/>
      <c r="H1509" s="916"/>
    </row>
    <row r="1510" spans="1:8" ht="15">
      <c r="A1510" s="753"/>
      <c r="B1510" s="754"/>
      <c r="C1510" s="752"/>
      <c r="D1510" s="752"/>
      <c r="E1510" s="750"/>
      <c r="F1510" s="752"/>
      <c r="H1510" s="916"/>
    </row>
    <row r="1511" spans="1:8" ht="15">
      <c r="A1511" s="753"/>
      <c r="B1511" s="754"/>
      <c r="C1511" s="752"/>
      <c r="D1511" s="752"/>
      <c r="E1511" s="750"/>
      <c r="F1511" s="752"/>
      <c r="H1511" s="916"/>
    </row>
    <row r="1512" spans="1:8" ht="15">
      <c r="A1512" s="753"/>
      <c r="B1512" s="754"/>
      <c r="C1512" s="752"/>
      <c r="D1512" s="752"/>
      <c r="E1512" s="750"/>
      <c r="F1512" s="752"/>
      <c r="H1512" s="916"/>
    </row>
    <row r="1513" spans="1:8" ht="15">
      <c r="A1513" s="753"/>
      <c r="B1513" s="754"/>
      <c r="C1513" s="752"/>
      <c r="D1513" s="752"/>
      <c r="E1513" s="750"/>
      <c r="F1513" s="752"/>
      <c r="H1513" s="916"/>
    </row>
    <row r="1514" spans="1:12" s="821" customFormat="1" ht="15">
      <c r="A1514" s="1271"/>
      <c r="B1514" s="1271"/>
      <c r="C1514" s="1271"/>
      <c r="D1514" s="1271"/>
      <c r="E1514" s="1271"/>
      <c r="F1514" s="1271"/>
      <c r="G1514" s="1271"/>
      <c r="H1514" s="1271"/>
      <c r="I1514" s="1271"/>
      <c r="K1514" s="822"/>
      <c r="L1514" s="823"/>
    </row>
    <row r="1516" spans="1:12" s="821" customFormat="1" ht="12.75" customHeight="1">
      <c r="A1516" s="1271"/>
      <c r="B1516" s="1271"/>
      <c r="C1516" s="1271"/>
      <c r="D1516" s="1271"/>
      <c r="E1516" s="1271"/>
      <c r="F1516" s="1271"/>
      <c r="G1516" s="1271"/>
      <c r="H1516" s="1271"/>
      <c r="I1516" s="1271"/>
      <c r="K1516" s="822"/>
      <c r="L1516" s="823"/>
    </row>
    <row r="1517" spans="1:8" ht="15">
      <c r="A1517" s="753"/>
      <c r="B1517" s="754"/>
      <c r="C1517" s="752"/>
      <c r="D1517" s="752"/>
      <c r="E1517" s="750"/>
      <c r="F1517" s="752"/>
      <c r="H1517" s="916"/>
    </row>
    <row r="1520" spans="1:8" ht="15">
      <c r="A1520" s="753"/>
      <c r="B1520" s="754"/>
      <c r="C1520" s="752"/>
      <c r="D1520" s="752"/>
      <c r="E1520" s="750"/>
      <c r="F1520" s="752"/>
      <c r="H1520" s="916"/>
    </row>
    <row r="1521" spans="1:8" ht="15">
      <c r="A1521" s="753"/>
      <c r="B1521" s="754"/>
      <c r="C1521" s="752"/>
      <c r="D1521" s="752"/>
      <c r="E1521" s="750"/>
      <c r="F1521" s="752"/>
      <c r="H1521" s="916"/>
    </row>
    <row r="1522" spans="1:8" ht="15">
      <c r="A1522" s="753"/>
      <c r="B1522" s="754"/>
      <c r="C1522" s="752"/>
      <c r="D1522" s="752"/>
      <c r="E1522" s="750"/>
      <c r="F1522" s="752"/>
      <c r="H1522" s="916"/>
    </row>
    <row r="1523" spans="1:8" ht="15">
      <c r="A1523" s="753"/>
      <c r="B1523" s="754"/>
      <c r="C1523" s="752"/>
      <c r="D1523" s="752"/>
      <c r="E1523" s="750"/>
      <c r="F1523" s="752"/>
      <c r="H1523" s="916"/>
    </row>
    <row r="1524" spans="1:8" ht="15">
      <c r="A1524" s="753"/>
      <c r="B1524" s="754"/>
      <c r="C1524" s="752"/>
      <c r="D1524" s="752"/>
      <c r="E1524" s="750"/>
      <c r="F1524" s="752"/>
      <c r="H1524" s="916"/>
    </row>
    <row r="1525" spans="1:8" ht="15">
      <c r="A1525" s="753"/>
      <c r="B1525" s="754"/>
      <c r="C1525" s="752"/>
      <c r="D1525" s="752"/>
      <c r="E1525" s="750"/>
      <c r="F1525" s="752"/>
      <c r="H1525" s="916"/>
    </row>
    <row r="1526" spans="1:8" ht="15">
      <c r="A1526" s="753"/>
      <c r="B1526" s="754"/>
      <c r="C1526" s="752"/>
      <c r="D1526" s="752"/>
      <c r="E1526" s="750"/>
      <c r="F1526" s="752"/>
      <c r="H1526" s="916"/>
    </row>
    <row r="1527" spans="1:8" ht="15">
      <c r="A1527" s="753"/>
      <c r="B1527" s="754"/>
      <c r="C1527" s="752"/>
      <c r="D1527" s="752"/>
      <c r="E1527" s="750"/>
      <c r="F1527" s="752"/>
      <c r="H1527" s="916"/>
    </row>
    <row r="1528" spans="1:8" ht="15">
      <c r="A1528" s="753"/>
      <c r="B1528" s="754"/>
      <c r="C1528" s="752"/>
      <c r="D1528" s="752"/>
      <c r="E1528" s="750"/>
      <c r="F1528" s="752"/>
      <c r="H1528" s="916"/>
    </row>
    <row r="1529" spans="1:8" ht="15">
      <c r="A1529" s="753"/>
      <c r="B1529" s="754"/>
      <c r="C1529" s="752"/>
      <c r="D1529" s="752"/>
      <c r="E1529" s="750"/>
      <c r="F1529" s="752"/>
      <c r="H1529" s="916"/>
    </row>
    <row r="1530" spans="1:8" ht="15">
      <c r="A1530" s="753"/>
      <c r="B1530" s="754"/>
      <c r="C1530" s="752"/>
      <c r="D1530" s="752"/>
      <c r="E1530" s="750"/>
      <c r="F1530" s="752"/>
      <c r="H1530" s="916"/>
    </row>
    <row r="1531" spans="1:8" ht="15">
      <c r="A1531" s="753"/>
      <c r="B1531" s="754"/>
      <c r="C1531" s="752"/>
      <c r="D1531" s="752"/>
      <c r="E1531" s="750"/>
      <c r="F1531" s="752"/>
      <c r="H1531" s="916"/>
    </row>
    <row r="1532" spans="1:12" ht="15">
      <c r="A1532" s="753"/>
      <c r="B1532" s="754"/>
      <c r="C1532" s="752"/>
      <c r="D1532" s="752"/>
      <c r="E1532" s="750"/>
      <c r="F1532" s="752"/>
      <c r="H1532" s="916"/>
      <c r="I1532" s="727"/>
      <c r="K1532" s="727"/>
      <c r="L1532" s="727"/>
    </row>
    <row r="1533" spans="1:12" ht="15">
      <c r="A1533" s="753"/>
      <c r="B1533" s="754"/>
      <c r="C1533" s="752"/>
      <c r="D1533" s="752"/>
      <c r="E1533" s="750"/>
      <c r="F1533" s="752"/>
      <c r="H1533" s="916"/>
      <c r="I1533" s="727"/>
      <c r="K1533" s="727"/>
      <c r="L1533" s="727"/>
    </row>
    <row r="1534" spans="1:12" ht="15">
      <c r="A1534" s="753"/>
      <c r="B1534" s="754"/>
      <c r="C1534" s="752"/>
      <c r="D1534" s="752"/>
      <c r="E1534" s="750"/>
      <c r="F1534" s="752"/>
      <c r="H1534" s="916"/>
      <c r="I1534" s="727"/>
      <c r="K1534" s="727"/>
      <c r="L1534" s="727"/>
    </row>
    <row r="1535" spans="1:12" ht="15">
      <c r="A1535" s="753"/>
      <c r="B1535" s="754"/>
      <c r="C1535" s="752"/>
      <c r="D1535" s="752"/>
      <c r="E1535" s="750"/>
      <c r="F1535" s="752"/>
      <c r="H1535" s="916"/>
      <c r="I1535" s="727"/>
      <c r="K1535" s="727"/>
      <c r="L1535" s="727"/>
    </row>
    <row r="1536" spans="1:12" ht="15">
      <c r="A1536" s="753"/>
      <c r="B1536" s="754"/>
      <c r="C1536" s="752"/>
      <c r="D1536" s="752"/>
      <c r="E1536" s="750"/>
      <c r="F1536" s="752"/>
      <c r="H1536" s="916"/>
      <c r="I1536" s="727"/>
      <c r="K1536" s="727"/>
      <c r="L1536" s="727"/>
    </row>
    <row r="1537" spans="1:12" ht="15">
      <c r="A1537" s="753"/>
      <c r="B1537" s="754"/>
      <c r="C1537" s="752"/>
      <c r="D1537" s="752"/>
      <c r="E1537" s="750"/>
      <c r="F1537" s="752"/>
      <c r="H1537" s="916"/>
      <c r="I1537" s="727"/>
      <c r="K1537" s="727"/>
      <c r="L1537" s="727"/>
    </row>
    <row r="1538" spans="1:12" ht="15">
      <c r="A1538" s="753"/>
      <c r="B1538" s="754"/>
      <c r="C1538" s="752"/>
      <c r="D1538" s="752"/>
      <c r="E1538" s="750"/>
      <c r="F1538" s="752"/>
      <c r="H1538" s="916"/>
      <c r="I1538" s="727"/>
      <c r="K1538" s="727"/>
      <c r="L1538" s="727"/>
    </row>
    <row r="1539" spans="1:12" ht="15">
      <c r="A1539" s="753"/>
      <c r="B1539" s="754"/>
      <c r="C1539" s="752"/>
      <c r="D1539" s="752"/>
      <c r="E1539" s="750"/>
      <c r="F1539" s="752"/>
      <c r="H1539" s="916"/>
      <c r="I1539" s="727"/>
      <c r="K1539" s="727"/>
      <c r="L1539" s="727"/>
    </row>
    <row r="1540" spans="1:12" ht="15">
      <c r="A1540" s="753"/>
      <c r="B1540" s="754"/>
      <c r="C1540" s="752"/>
      <c r="D1540" s="752"/>
      <c r="E1540" s="750"/>
      <c r="F1540" s="752"/>
      <c r="H1540" s="916"/>
      <c r="I1540" s="727"/>
      <c r="K1540" s="727"/>
      <c r="L1540" s="727"/>
    </row>
    <row r="1541" spans="1:12" ht="15">
      <c r="A1541" s="753"/>
      <c r="B1541" s="754"/>
      <c r="C1541" s="752"/>
      <c r="D1541" s="752"/>
      <c r="E1541" s="750"/>
      <c r="F1541" s="752"/>
      <c r="H1541" s="916"/>
      <c r="I1541" s="727"/>
      <c r="K1541" s="727"/>
      <c r="L1541" s="727"/>
    </row>
    <row r="1542" spans="1:12" ht="15">
      <c r="A1542" s="753"/>
      <c r="B1542" s="754"/>
      <c r="C1542" s="752"/>
      <c r="D1542" s="752"/>
      <c r="E1542" s="750"/>
      <c r="F1542" s="752"/>
      <c r="H1542" s="916"/>
      <c r="I1542" s="727"/>
      <c r="K1542" s="727"/>
      <c r="L1542" s="727"/>
    </row>
    <row r="1543" spans="1:12" ht="15">
      <c r="A1543" s="753"/>
      <c r="B1543" s="754"/>
      <c r="C1543" s="752"/>
      <c r="D1543" s="752"/>
      <c r="E1543" s="750"/>
      <c r="F1543" s="752"/>
      <c r="H1543" s="916"/>
      <c r="I1543" s="727"/>
      <c r="K1543" s="727"/>
      <c r="L1543" s="727"/>
    </row>
    <row r="1544" spans="1:12" ht="15">
      <c r="A1544" s="753"/>
      <c r="B1544" s="754"/>
      <c r="C1544" s="752"/>
      <c r="D1544" s="752"/>
      <c r="E1544" s="750"/>
      <c r="F1544" s="752"/>
      <c r="H1544" s="916"/>
      <c r="I1544" s="727"/>
      <c r="K1544" s="727"/>
      <c r="L1544" s="727"/>
    </row>
    <row r="1545" spans="1:12" ht="15">
      <c r="A1545" s="753"/>
      <c r="B1545" s="754"/>
      <c r="C1545" s="752"/>
      <c r="D1545" s="752"/>
      <c r="E1545" s="750"/>
      <c r="F1545" s="752"/>
      <c r="H1545" s="916"/>
      <c r="I1545" s="727"/>
      <c r="K1545" s="727"/>
      <c r="L1545" s="727"/>
    </row>
    <row r="1546" spans="1:12" ht="15">
      <c r="A1546" s="753"/>
      <c r="B1546" s="754"/>
      <c r="C1546" s="752"/>
      <c r="D1546" s="752"/>
      <c r="E1546" s="750"/>
      <c r="F1546" s="752"/>
      <c r="H1546" s="916"/>
      <c r="I1546" s="727"/>
      <c r="K1546" s="727"/>
      <c r="L1546" s="727"/>
    </row>
    <row r="1547" spans="1:12" ht="15">
      <c r="A1547" s="753"/>
      <c r="B1547" s="754"/>
      <c r="C1547" s="752"/>
      <c r="D1547" s="752"/>
      <c r="E1547" s="750"/>
      <c r="F1547" s="752"/>
      <c r="H1547" s="916"/>
      <c r="I1547" s="727"/>
      <c r="K1547" s="727"/>
      <c r="L1547" s="727"/>
    </row>
    <row r="1548" spans="1:12" ht="15">
      <c r="A1548" s="753"/>
      <c r="B1548" s="754"/>
      <c r="C1548" s="752"/>
      <c r="D1548" s="752"/>
      <c r="E1548" s="750"/>
      <c r="F1548" s="752"/>
      <c r="H1548" s="916"/>
      <c r="I1548" s="727"/>
      <c r="K1548" s="727"/>
      <c r="L1548" s="727"/>
    </row>
    <row r="1549" spans="1:12" ht="15">
      <c r="A1549" s="753"/>
      <c r="B1549" s="754"/>
      <c r="C1549" s="752"/>
      <c r="D1549" s="752"/>
      <c r="E1549" s="750"/>
      <c r="F1549" s="752"/>
      <c r="H1549" s="916"/>
      <c r="I1549" s="727"/>
      <c r="K1549" s="727"/>
      <c r="L1549" s="727"/>
    </row>
    <row r="1550" spans="1:12" ht="15">
      <c r="A1550" s="753"/>
      <c r="B1550" s="754"/>
      <c r="C1550" s="752"/>
      <c r="D1550" s="752"/>
      <c r="E1550" s="750"/>
      <c r="F1550" s="752"/>
      <c r="H1550" s="916"/>
      <c r="I1550" s="727"/>
      <c r="K1550" s="727"/>
      <c r="L1550" s="727"/>
    </row>
    <row r="1551" spans="1:12" ht="15">
      <c r="A1551" s="753"/>
      <c r="B1551" s="754"/>
      <c r="C1551" s="752"/>
      <c r="D1551" s="752"/>
      <c r="E1551" s="750"/>
      <c r="F1551" s="752"/>
      <c r="H1551" s="916"/>
      <c r="I1551" s="727"/>
      <c r="K1551" s="727"/>
      <c r="L1551" s="727"/>
    </row>
    <row r="1552" spans="1:12" ht="15">
      <c r="A1552" s="753"/>
      <c r="B1552" s="754"/>
      <c r="C1552" s="752"/>
      <c r="D1552" s="752"/>
      <c r="E1552" s="750"/>
      <c r="F1552" s="752"/>
      <c r="H1552" s="916"/>
      <c r="I1552" s="727"/>
      <c r="K1552" s="727"/>
      <c r="L1552" s="727"/>
    </row>
    <row r="1553" spans="1:12" ht="15">
      <c r="A1553" s="753"/>
      <c r="B1553" s="754"/>
      <c r="C1553" s="752"/>
      <c r="D1553" s="752"/>
      <c r="E1553" s="750"/>
      <c r="F1553" s="752"/>
      <c r="H1553" s="916"/>
      <c r="I1553" s="727"/>
      <c r="K1553" s="727"/>
      <c r="L1553" s="727"/>
    </row>
    <row r="1554" spans="1:12" ht="15">
      <c r="A1554" s="753"/>
      <c r="B1554" s="754"/>
      <c r="C1554" s="752"/>
      <c r="D1554" s="752"/>
      <c r="E1554" s="750"/>
      <c r="F1554" s="752"/>
      <c r="H1554" s="916"/>
      <c r="I1554" s="727"/>
      <c r="K1554" s="727"/>
      <c r="L1554" s="727"/>
    </row>
    <row r="1555" spans="1:12" ht="15">
      <c r="A1555" s="753"/>
      <c r="B1555" s="754"/>
      <c r="C1555" s="752"/>
      <c r="D1555" s="752"/>
      <c r="E1555" s="750"/>
      <c r="F1555" s="752"/>
      <c r="H1555" s="916"/>
      <c r="I1555" s="727"/>
      <c r="K1555" s="727"/>
      <c r="L1555" s="727"/>
    </row>
    <row r="1556" spans="1:12" ht="15">
      <c r="A1556" s="753"/>
      <c r="B1556" s="754"/>
      <c r="C1556" s="752"/>
      <c r="D1556" s="752"/>
      <c r="E1556" s="750"/>
      <c r="F1556" s="752"/>
      <c r="H1556" s="916"/>
      <c r="I1556" s="727"/>
      <c r="K1556" s="727"/>
      <c r="L1556" s="727"/>
    </row>
    <row r="1557" spans="1:12" ht="15">
      <c r="A1557" s="753"/>
      <c r="B1557" s="754"/>
      <c r="C1557" s="752"/>
      <c r="D1557" s="752"/>
      <c r="E1557" s="750"/>
      <c r="F1557" s="752"/>
      <c r="H1557" s="916"/>
      <c r="I1557" s="727"/>
      <c r="K1557" s="727"/>
      <c r="L1557" s="727"/>
    </row>
    <row r="1558" spans="1:12" ht="15">
      <c r="A1558" s="753"/>
      <c r="B1558" s="754"/>
      <c r="C1558" s="752"/>
      <c r="D1558" s="752"/>
      <c r="E1558" s="750"/>
      <c r="F1558" s="752"/>
      <c r="H1558" s="916"/>
      <c r="I1558" s="727"/>
      <c r="K1558" s="727"/>
      <c r="L1558" s="727"/>
    </row>
    <row r="1559" spans="1:12" ht="15">
      <c r="A1559" s="753"/>
      <c r="B1559" s="754"/>
      <c r="C1559" s="752"/>
      <c r="D1559" s="752"/>
      <c r="E1559" s="750"/>
      <c r="F1559" s="752"/>
      <c r="H1559" s="916"/>
      <c r="I1559" s="727"/>
      <c r="K1559" s="727"/>
      <c r="L1559" s="727"/>
    </row>
    <row r="1560" spans="1:12" ht="15">
      <c r="A1560" s="753"/>
      <c r="B1560" s="754"/>
      <c r="C1560" s="752"/>
      <c r="D1560" s="752"/>
      <c r="E1560" s="750"/>
      <c r="F1560" s="752"/>
      <c r="H1560" s="916"/>
      <c r="I1560" s="727"/>
      <c r="K1560" s="727"/>
      <c r="L1560" s="727"/>
    </row>
    <row r="1561" spans="1:12" ht="15">
      <c r="A1561" s="753"/>
      <c r="B1561" s="754"/>
      <c r="C1561" s="752"/>
      <c r="D1561" s="752"/>
      <c r="E1561" s="750"/>
      <c r="F1561" s="752"/>
      <c r="H1561" s="916"/>
      <c r="I1561" s="727"/>
      <c r="K1561" s="727"/>
      <c r="L1561" s="727"/>
    </row>
    <row r="1562" spans="1:12" ht="15">
      <c r="A1562" s="753"/>
      <c r="B1562" s="754"/>
      <c r="C1562" s="752"/>
      <c r="D1562" s="752"/>
      <c r="E1562" s="750"/>
      <c r="F1562" s="752"/>
      <c r="H1562" s="916"/>
      <c r="I1562" s="727"/>
      <c r="K1562" s="727"/>
      <c r="L1562" s="727"/>
    </row>
    <row r="1563" spans="1:12" ht="15">
      <c r="A1563" s="753"/>
      <c r="B1563" s="754"/>
      <c r="C1563" s="752"/>
      <c r="D1563" s="752"/>
      <c r="E1563" s="750"/>
      <c r="F1563" s="752"/>
      <c r="H1563" s="916"/>
      <c r="I1563" s="727"/>
      <c r="K1563" s="727"/>
      <c r="L1563" s="727"/>
    </row>
    <row r="1564" spans="1:12" ht="15">
      <c r="A1564" s="753"/>
      <c r="B1564" s="754"/>
      <c r="C1564" s="752"/>
      <c r="D1564" s="752"/>
      <c r="E1564" s="750"/>
      <c r="F1564" s="752"/>
      <c r="H1564" s="916"/>
      <c r="I1564" s="727"/>
      <c r="K1564" s="727"/>
      <c r="L1564" s="727"/>
    </row>
    <row r="1565" spans="1:12" ht="15">
      <c r="A1565" s="753"/>
      <c r="B1565" s="754"/>
      <c r="C1565" s="752"/>
      <c r="D1565" s="752"/>
      <c r="E1565" s="750"/>
      <c r="F1565" s="752"/>
      <c r="H1565" s="916"/>
      <c r="I1565" s="727"/>
      <c r="K1565" s="727"/>
      <c r="L1565" s="727"/>
    </row>
    <row r="1566" spans="1:12" ht="15">
      <c r="A1566" s="753"/>
      <c r="B1566" s="754"/>
      <c r="C1566" s="752"/>
      <c r="D1566" s="752"/>
      <c r="E1566" s="750"/>
      <c r="F1566" s="752"/>
      <c r="H1566" s="916"/>
      <c r="I1566" s="727"/>
      <c r="K1566" s="727"/>
      <c r="L1566" s="727"/>
    </row>
    <row r="1567" spans="1:12" ht="15">
      <c r="A1567" s="753"/>
      <c r="B1567" s="754"/>
      <c r="C1567" s="752"/>
      <c r="D1567" s="752"/>
      <c r="E1567" s="750"/>
      <c r="F1567" s="752"/>
      <c r="H1567" s="916"/>
      <c r="I1567" s="727"/>
      <c r="K1567" s="727"/>
      <c r="L1567" s="727"/>
    </row>
    <row r="1568" spans="1:12" ht="15">
      <c r="A1568" s="753"/>
      <c r="B1568" s="754"/>
      <c r="C1568" s="752"/>
      <c r="D1568" s="752"/>
      <c r="E1568" s="750"/>
      <c r="F1568" s="752"/>
      <c r="H1568" s="916"/>
      <c r="I1568" s="727"/>
      <c r="K1568" s="727"/>
      <c r="L1568" s="727"/>
    </row>
    <row r="1569" spans="1:12" ht="15">
      <c r="A1569" s="753"/>
      <c r="B1569" s="754"/>
      <c r="C1569" s="752"/>
      <c r="D1569" s="752"/>
      <c r="E1569" s="750"/>
      <c r="F1569" s="752"/>
      <c r="H1569" s="916"/>
      <c r="I1569" s="727"/>
      <c r="K1569" s="727"/>
      <c r="L1569" s="727"/>
    </row>
    <row r="1570" spans="1:12" ht="15">
      <c r="A1570" s="753"/>
      <c r="B1570" s="754"/>
      <c r="C1570" s="752"/>
      <c r="D1570" s="752"/>
      <c r="E1570" s="750"/>
      <c r="F1570" s="752"/>
      <c r="H1570" s="916"/>
      <c r="I1570" s="727"/>
      <c r="K1570" s="727"/>
      <c r="L1570" s="727"/>
    </row>
    <row r="1571" spans="1:12" ht="15">
      <c r="A1571" s="753"/>
      <c r="B1571" s="754"/>
      <c r="C1571" s="752"/>
      <c r="D1571" s="752"/>
      <c r="E1571" s="750"/>
      <c r="F1571" s="752"/>
      <c r="H1571" s="916"/>
      <c r="I1571" s="727"/>
      <c r="K1571" s="727"/>
      <c r="L1571" s="727"/>
    </row>
    <row r="1572" spans="1:12" ht="15">
      <c r="A1572" s="753"/>
      <c r="B1572" s="754"/>
      <c r="C1572" s="752"/>
      <c r="D1572" s="752"/>
      <c r="E1572" s="750"/>
      <c r="F1572" s="752"/>
      <c r="H1572" s="916"/>
      <c r="I1572" s="727"/>
      <c r="K1572" s="727"/>
      <c r="L1572" s="727"/>
    </row>
    <row r="1573" spans="1:12" ht="15">
      <c r="A1573" s="753"/>
      <c r="B1573" s="754"/>
      <c r="C1573" s="752"/>
      <c r="D1573" s="752"/>
      <c r="E1573" s="750"/>
      <c r="F1573" s="752"/>
      <c r="H1573" s="916"/>
      <c r="I1573" s="727"/>
      <c r="K1573" s="727"/>
      <c r="L1573" s="727"/>
    </row>
    <row r="1574" spans="1:12" ht="15">
      <c r="A1574" s="753"/>
      <c r="B1574" s="754"/>
      <c r="C1574" s="752"/>
      <c r="D1574" s="752"/>
      <c r="E1574" s="750"/>
      <c r="F1574" s="752"/>
      <c r="H1574" s="916"/>
      <c r="I1574" s="727"/>
      <c r="K1574" s="727"/>
      <c r="L1574" s="727"/>
    </row>
    <row r="1575" spans="1:12" ht="15">
      <c r="A1575" s="753"/>
      <c r="B1575" s="754"/>
      <c r="C1575" s="752"/>
      <c r="D1575" s="752"/>
      <c r="E1575" s="750"/>
      <c r="F1575" s="752"/>
      <c r="H1575" s="916"/>
      <c r="I1575" s="727"/>
      <c r="K1575" s="727"/>
      <c r="L1575" s="727"/>
    </row>
    <row r="1576" spans="1:12" ht="15">
      <c r="A1576" s="753"/>
      <c r="B1576" s="754"/>
      <c r="C1576" s="752"/>
      <c r="D1576" s="752"/>
      <c r="E1576" s="750"/>
      <c r="F1576" s="752"/>
      <c r="H1576" s="916"/>
      <c r="I1576" s="727"/>
      <c r="K1576" s="727"/>
      <c r="L1576" s="727"/>
    </row>
    <row r="1577" spans="1:12" ht="15">
      <c r="A1577" s="753"/>
      <c r="B1577" s="754"/>
      <c r="C1577" s="752"/>
      <c r="D1577" s="752"/>
      <c r="E1577" s="750"/>
      <c r="F1577" s="752"/>
      <c r="H1577" s="916"/>
      <c r="I1577" s="727"/>
      <c r="K1577" s="727"/>
      <c r="L1577" s="727"/>
    </row>
    <row r="1578" spans="1:12" ht="15">
      <c r="A1578" s="753"/>
      <c r="B1578" s="754"/>
      <c r="C1578" s="752"/>
      <c r="D1578" s="752"/>
      <c r="E1578" s="750"/>
      <c r="F1578" s="752"/>
      <c r="H1578" s="916"/>
      <c r="I1578" s="727"/>
      <c r="K1578" s="727"/>
      <c r="L1578" s="727"/>
    </row>
  </sheetData>
  <sheetProtection/>
  <autoFilter ref="E1:E1578"/>
  <mergeCells count="197">
    <mergeCell ref="B979:C979"/>
    <mergeCell ref="A1259:I1259"/>
    <mergeCell ref="B1013:E1013"/>
    <mergeCell ref="B1392:I1392"/>
    <mergeCell ref="B1395:I1395"/>
    <mergeCell ref="B1188:E1188"/>
    <mergeCell ref="A1170:I1170"/>
    <mergeCell ref="A1346:I1346"/>
    <mergeCell ref="B1172:E1172"/>
    <mergeCell ref="B1070:E1070"/>
    <mergeCell ref="A1069:I1069"/>
    <mergeCell ref="A268:I268"/>
    <mergeCell ref="A753:I753"/>
    <mergeCell ref="A993:I993"/>
    <mergeCell ref="B1079:E1079"/>
    <mergeCell ref="B427:G427"/>
    <mergeCell ref="B1097:D1097"/>
    <mergeCell ref="B844:E844"/>
    <mergeCell ref="B1267:E1267"/>
    <mergeCell ref="B1401:I1401"/>
    <mergeCell ref="B1371:E1371"/>
    <mergeCell ref="B1369:E1369"/>
    <mergeCell ref="B1284:E1284"/>
    <mergeCell ref="B1353:E1353"/>
    <mergeCell ref="B1383:I1383"/>
    <mergeCell ref="B1386:I1386"/>
    <mergeCell ref="B1389:I1389"/>
    <mergeCell ref="B1390:I1390"/>
    <mergeCell ref="GC2:GJ2"/>
    <mergeCell ref="GK2:GR2"/>
    <mergeCell ref="EG2:EN2"/>
    <mergeCell ref="HY2:IF2"/>
    <mergeCell ref="HA2:HH2"/>
    <mergeCell ref="FM2:FT2"/>
    <mergeCell ref="A289:I289"/>
    <mergeCell ref="B301:E301"/>
    <mergeCell ref="B165:C165"/>
    <mergeCell ref="BE2:BL2"/>
    <mergeCell ref="B190:E191"/>
    <mergeCell ref="B157:C157"/>
    <mergeCell ref="B138:E138"/>
    <mergeCell ref="B160:C160"/>
    <mergeCell ref="B164:D164"/>
    <mergeCell ref="A180:I180"/>
    <mergeCell ref="CK2:CR2"/>
    <mergeCell ref="FE2:FL2"/>
    <mergeCell ref="EO2:EV2"/>
    <mergeCell ref="AG2:AN2"/>
    <mergeCell ref="AW2:BD2"/>
    <mergeCell ref="DY2:EF2"/>
    <mergeCell ref="EW2:FD2"/>
    <mergeCell ref="BU2:CB2"/>
    <mergeCell ref="CC2:CJ2"/>
    <mergeCell ref="BM2:BT2"/>
    <mergeCell ref="AO2:AV2"/>
    <mergeCell ref="A2:I2"/>
    <mergeCell ref="B72:E72"/>
    <mergeCell ref="B63:E63"/>
    <mergeCell ref="B39:E39"/>
    <mergeCell ref="B52:E52"/>
    <mergeCell ref="Q2:X2"/>
    <mergeCell ref="B21:E21"/>
    <mergeCell ref="B222:E222"/>
    <mergeCell ref="B193:C193"/>
    <mergeCell ref="Y2:AF2"/>
    <mergeCell ref="B162:C162"/>
    <mergeCell ref="B175:I175"/>
    <mergeCell ref="B163:C163"/>
    <mergeCell ref="B215:C215"/>
    <mergeCell ref="IO2:IV2"/>
    <mergeCell ref="CS2:CZ2"/>
    <mergeCell ref="DA2:DH2"/>
    <mergeCell ref="DI2:DP2"/>
    <mergeCell ref="DQ2:DX2"/>
    <mergeCell ref="GS2:GZ2"/>
    <mergeCell ref="HQ2:HX2"/>
    <mergeCell ref="HI2:HP2"/>
    <mergeCell ref="IG2:IN2"/>
    <mergeCell ref="FU2:GB2"/>
    <mergeCell ref="B148:E148"/>
    <mergeCell ref="B988:C988"/>
    <mergeCell ref="B245:C245"/>
    <mergeCell ref="B405:E405"/>
    <mergeCell ref="B388:E388"/>
    <mergeCell ref="A210:I210"/>
    <mergeCell ref="B970:C970"/>
    <mergeCell ref="B451:G451"/>
    <mergeCell ref="A466:I466"/>
    <mergeCell ref="B789:D789"/>
    <mergeCell ref="A92:I92"/>
    <mergeCell ref="B1089:E1089"/>
    <mergeCell ref="B1158:E1158"/>
    <mergeCell ref="B1072:E1072"/>
    <mergeCell ref="B1085:E1085"/>
    <mergeCell ref="B1078:E1078"/>
    <mergeCell ref="B195:E195"/>
    <mergeCell ref="B213:I213"/>
    <mergeCell ref="A1049:I1049"/>
    <mergeCell ref="B398:C398"/>
    <mergeCell ref="B1441:I1441"/>
    <mergeCell ref="B1451:I1451"/>
    <mergeCell ref="A1514:I1514"/>
    <mergeCell ref="B1491:E1491"/>
    <mergeCell ref="B1444:I1444"/>
    <mergeCell ref="A1516:I1516"/>
    <mergeCell ref="B1495:I1495"/>
    <mergeCell ref="B1479:E1479"/>
    <mergeCell ref="B1459:I1459"/>
    <mergeCell ref="B1470:E1470"/>
    <mergeCell ref="B1407:I1407"/>
    <mergeCell ref="E1430:G1430"/>
    <mergeCell ref="B1440:E1440"/>
    <mergeCell ref="B1432:I1432"/>
    <mergeCell ref="B1438:I1438"/>
    <mergeCell ref="F1440:I1440"/>
    <mergeCell ref="B1421:I1421"/>
    <mergeCell ref="B1415:I1415"/>
    <mergeCell ref="B1418:I1418"/>
    <mergeCell ref="A1411:I1411"/>
    <mergeCell ref="B1449:I1449"/>
    <mergeCell ref="E1431:G1431"/>
    <mergeCell ref="B1001:C1001"/>
    <mergeCell ref="B1404:I1404"/>
    <mergeCell ref="B1398:I1398"/>
    <mergeCell ref="B1356:E1356"/>
    <mergeCell ref="B1375:E1375"/>
    <mergeCell ref="B1376:E1376"/>
    <mergeCell ref="B1380:E1380"/>
    <mergeCell ref="B1263:E1263"/>
    <mergeCell ref="B972:C972"/>
    <mergeCell ref="B974:C974"/>
    <mergeCell ref="B845:E845"/>
    <mergeCell ref="B860:E860"/>
    <mergeCell ref="A866:I866"/>
    <mergeCell ref="B1252:E1252"/>
    <mergeCell ref="B1232:E1232"/>
    <mergeCell ref="B968:I968"/>
    <mergeCell ref="B1043:I1043"/>
    <mergeCell ref="B1093:G1093"/>
    <mergeCell ref="B1077:E1077"/>
    <mergeCell ref="B1083:E1083"/>
    <mergeCell ref="B996:C996"/>
    <mergeCell ref="B1242:E1242"/>
    <mergeCell ref="B1086:E1086"/>
    <mergeCell ref="B441:G441"/>
    <mergeCell ref="B519:I519"/>
    <mergeCell ref="B489:G489"/>
    <mergeCell ref="B966:E966"/>
    <mergeCell ref="B636:C636"/>
    <mergeCell ref="A963:I963"/>
    <mergeCell ref="B932:E932"/>
    <mergeCell ref="B918:E918"/>
    <mergeCell ref="A783:I783"/>
    <mergeCell ref="B330:C330"/>
    <mergeCell ref="B387:C387"/>
    <mergeCell ref="A420:I420"/>
    <mergeCell ref="B708:E708"/>
    <mergeCell ref="B608:E608"/>
    <mergeCell ref="B507:G507"/>
    <mergeCell ref="A680:I680"/>
    <mergeCell ref="B597:E597"/>
    <mergeCell ref="B407:G407"/>
    <mergeCell ref="B417:G417"/>
    <mergeCell ref="B527:E527"/>
    <mergeCell ref="B525:E525"/>
    <mergeCell ref="B499:E499"/>
    <mergeCell ref="B637:E637"/>
    <mergeCell ref="B1087:E1087"/>
    <mergeCell ref="B1081:E1081"/>
    <mergeCell ref="B727:I727"/>
    <mergeCell ref="B748:E748"/>
    <mergeCell ref="B1005:C1005"/>
    <mergeCell ref="B1009:C1009"/>
    <mergeCell ref="B983:C983"/>
    <mergeCell ref="B992:E992"/>
    <mergeCell ref="B976:C976"/>
    <mergeCell ref="B977:C977"/>
    <mergeCell ref="B718:E718"/>
    <mergeCell ref="B794:E794"/>
    <mergeCell ref="B239:E239"/>
    <mergeCell ref="B1074:E1074"/>
    <mergeCell ref="B461:G461"/>
    <mergeCell ref="B479:G479"/>
    <mergeCell ref="A571:I571"/>
    <mergeCell ref="A474:I474"/>
    <mergeCell ref="B627:I627"/>
    <mergeCell ref="B557:E557"/>
    <mergeCell ref="A383:I383"/>
    <mergeCell ref="A670:I670"/>
    <mergeCell ref="A1499:I1499"/>
    <mergeCell ref="A1:I1"/>
    <mergeCell ref="B246:E246"/>
    <mergeCell ref="B255:E255"/>
    <mergeCell ref="B252:E252"/>
    <mergeCell ref="B315:C315"/>
    <mergeCell ref="B1148:E1148"/>
    <mergeCell ref="B1103:D1103"/>
  </mergeCells>
  <hyperlinks>
    <hyperlink ref="J10" r:id="rId1" display="GL 101P - EXL"/>
    <hyperlink ref="J16" r:id="rId2" display="Marietjie 's calculation : Short term portion of LT Liabilities( CAPITAL) "/>
    <hyperlink ref="J57" r:id="rId3" display="NOTE 2 PROVISIONS\MADIKANE GL8031.xls"/>
    <hyperlink ref="J66" r:id="rId4" display="NOTE 2 PROVISIONS\COLLATER.xls"/>
  </hyperlinks>
  <printOptions verticalCentered="1"/>
  <pageMargins left="0.35433070866141736" right="0.31496062992125984" top="0.3937007874015748" bottom="0.9448818897637796" header="0.2362204724409449" footer="0.35433070866141736"/>
  <pageSetup fitToHeight="13" horizontalDpi="600" verticalDpi="600" orientation="portrait" paperSize="9" scale="46" r:id="rId5"/>
  <rowBreaks count="16" manualBreakCount="16">
    <brk id="92" max="8" man="1"/>
    <brk id="180" max="8" man="1"/>
    <brk id="268" max="8" man="1"/>
    <brk id="383" max="8" man="1"/>
    <brk id="466" max="8" man="1"/>
    <brk id="571" max="8" man="1"/>
    <brk id="670" max="8" man="1"/>
    <brk id="783" max="8" man="1"/>
    <brk id="866" max="8" man="1"/>
    <brk id="963" max="8" man="1"/>
    <brk id="1069" max="8" man="1"/>
    <brk id="1170" max="8" man="1"/>
    <brk id="1259" max="8" man="1"/>
    <brk id="1346" max="8" man="1"/>
    <brk id="1411" max="8" man="1"/>
    <brk id="1499" max="8" man="1"/>
  </rowBreaks>
</worksheet>
</file>

<file path=xl/worksheets/sheet7.xml><?xml version="1.0" encoding="utf-8"?>
<worksheet xmlns="http://schemas.openxmlformats.org/spreadsheetml/2006/main" xmlns:r="http://schemas.openxmlformats.org/officeDocument/2006/relationships">
  <dimension ref="A1:U43"/>
  <sheetViews>
    <sheetView zoomScale="75" zoomScaleNormal="75" zoomScalePageLayoutView="0" workbookViewId="0" topLeftCell="A16">
      <selection activeCell="D44" sqref="D44"/>
    </sheetView>
  </sheetViews>
  <sheetFormatPr defaultColWidth="9.140625" defaultRowHeight="12.75"/>
  <cols>
    <col min="1" max="1" width="53.421875" style="184" customWidth="1"/>
    <col min="2" max="2" width="8.00390625" style="1154" customWidth="1"/>
    <col min="3" max="4" width="17.00390625" style="184" customWidth="1"/>
    <col min="5" max="5" width="16.8515625" style="184" customWidth="1"/>
    <col min="6" max="6" width="14.00390625" style="184" hidden="1" customWidth="1"/>
    <col min="7" max="7" width="12.28125" style="184" hidden="1" customWidth="1"/>
    <col min="8" max="8" width="17.00390625" style="184" customWidth="1"/>
    <col min="9" max="9" width="17.00390625" style="184" bestFit="1" customWidth="1"/>
    <col min="10" max="10" width="11.7109375" style="184" hidden="1" customWidth="1"/>
    <col min="11" max="11" width="99.7109375" style="184" hidden="1" customWidth="1"/>
    <col min="12" max="15" width="0" style="184" hidden="1" customWidth="1"/>
    <col min="16" max="16" width="10.28125" style="184" hidden="1" customWidth="1"/>
    <col min="17" max="17" width="0" style="184" hidden="1" customWidth="1"/>
    <col min="18" max="18" width="4.421875" style="184" customWidth="1"/>
    <col min="19" max="19" width="10.421875" style="184" bestFit="1" customWidth="1"/>
    <col min="20" max="20" width="17.8515625" style="185" bestFit="1" customWidth="1"/>
    <col min="21" max="21" width="11.00390625" style="184" bestFit="1" customWidth="1"/>
    <col min="22" max="16384" width="9.140625" style="184" customWidth="1"/>
  </cols>
  <sheetData>
    <row r="1" spans="1:20" s="144" customFormat="1" ht="12.75">
      <c r="A1" s="182"/>
      <c r="B1" s="1144"/>
      <c r="C1" s="182"/>
      <c r="D1" s="182"/>
      <c r="E1" s="182"/>
      <c r="F1" s="182"/>
      <c r="G1" s="182"/>
      <c r="H1" s="182"/>
      <c r="I1" s="182"/>
      <c r="T1" s="168"/>
    </row>
    <row r="2" spans="1:9" ht="12.75">
      <c r="A2" s="155"/>
      <c r="B2" s="1145"/>
      <c r="C2" s="155"/>
      <c r="D2" s="155"/>
      <c r="E2" s="155"/>
      <c r="F2" s="155"/>
      <c r="G2" s="155"/>
      <c r="H2" s="155"/>
      <c r="I2" s="155"/>
    </row>
    <row r="3" spans="1:20" s="144" customFormat="1" ht="12.75">
      <c r="A3" s="182"/>
      <c r="B3" s="1144"/>
      <c r="C3" s="182"/>
      <c r="D3" s="182"/>
      <c r="E3" s="182"/>
      <c r="F3" s="182"/>
      <c r="G3" s="182"/>
      <c r="H3" s="182"/>
      <c r="I3" s="182"/>
      <c r="T3" s="168"/>
    </row>
    <row r="4" spans="1:9" ht="12.75">
      <c r="A4" s="155"/>
      <c r="B4" s="1145"/>
      <c r="C4" s="155"/>
      <c r="D4" s="155"/>
      <c r="E4" s="155"/>
      <c r="F4" s="155"/>
      <c r="G4" s="155"/>
      <c r="H4" s="155"/>
      <c r="I4" s="155"/>
    </row>
    <row r="5" spans="1:20" s="144" customFormat="1" ht="12.75">
      <c r="A5" s="182"/>
      <c r="B5" s="1144"/>
      <c r="C5" s="182"/>
      <c r="D5" s="182"/>
      <c r="E5" s="182"/>
      <c r="F5" s="182"/>
      <c r="G5" s="182"/>
      <c r="H5" s="182"/>
      <c r="I5" s="182"/>
      <c r="T5" s="168"/>
    </row>
    <row r="6" spans="2:20" s="144" customFormat="1" ht="98.25" customHeight="1" thickBot="1">
      <c r="B6" s="1150"/>
      <c r="T6" s="168"/>
    </row>
    <row r="7" spans="1:9" ht="15.75">
      <c r="A7" s="1255" t="s">
        <v>570</v>
      </c>
      <c r="B7" s="1256"/>
      <c r="C7" s="1256"/>
      <c r="D7" s="1256"/>
      <c r="E7" s="1256"/>
      <c r="F7" s="1256"/>
      <c r="G7" s="1256"/>
      <c r="H7" s="1256"/>
      <c r="I7" s="1257"/>
    </row>
    <row r="8" spans="1:9" ht="13.5" thickBot="1">
      <c r="A8" s="194"/>
      <c r="B8" s="1151"/>
      <c r="C8" s="141"/>
      <c r="D8" s="141"/>
      <c r="E8" s="141"/>
      <c r="F8" s="141"/>
      <c r="G8" s="141"/>
      <c r="H8" s="141"/>
      <c r="I8" s="264"/>
    </row>
    <row r="9" spans="1:20" s="144" customFormat="1" ht="42" customHeight="1">
      <c r="A9" s="690"/>
      <c r="B9" s="692" t="s">
        <v>1599</v>
      </c>
      <c r="C9" s="431" t="s">
        <v>1177</v>
      </c>
      <c r="D9" s="687" t="s">
        <v>30</v>
      </c>
      <c r="E9" s="687" t="s">
        <v>1175</v>
      </c>
      <c r="F9" s="460" t="s">
        <v>1176</v>
      </c>
      <c r="G9" s="460" t="s">
        <v>1177</v>
      </c>
      <c r="H9" s="431" t="s">
        <v>1052</v>
      </c>
      <c r="I9" s="446" t="s">
        <v>1178</v>
      </c>
      <c r="T9" s="168"/>
    </row>
    <row r="10" spans="1:20" s="174" customFormat="1" ht="13.5" customHeight="1" thickBot="1">
      <c r="A10" s="691"/>
      <c r="B10" s="1152"/>
      <c r="C10" s="694"/>
      <c r="D10" s="695"/>
      <c r="E10" s="445" t="s">
        <v>1186</v>
      </c>
      <c r="F10" s="274"/>
      <c r="G10" s="274"/>
      <c r="H10" s="432" t="s">
        <v>1186</v>
      </c>
      <c r="I10" s="342" t="s">
        <v>1186</v>
      </c>
      <c r="T10" s="189"/>
    </row>
    <row r="11" spans="1:20" s="174" customFormat="1" ht="13.5" customHeight="1">
      <c r="A11" s="451"/>
      <c r="B11" s="1149"/>
      <c r="C11" s="186"/>
      <c r="D11" s="435"/>
      <c r="E11" s="688"/>
      <c r="F11" s="455"/>
      <c r="G11" s="455"/>
      <c r="H11" s="454"/>
      <c r="I11" s="456"/>
      <c r="T11" s="189"/>
    </row>
    <row r="12" spans="1:20" s="174" customFormat="1" ht="13.5" customHeight="1">
      <c r="A12" s="434">
        <v>2008</v>
      </c>
      <c r="B12" s="1149"/>
      <c r="C12" s="186"/>
      <c r="D12" s="435"/>
      <c r="E12" s="445"/>
      <c r="F12" s="445"/>
      <c r="G12" s="274"/>
      <c r="H12" s="432"/>
      <c r="I12" s="342"/>
      <c r="T12" s="189"/>
    </row>
    <row r="13" spans="1:20" s="140" customFormat="1" ht="12" customHeight="1">
      <c r="A13" s="190"/>
      <c r="B13" s="1148"/>
      <c r="C13" s="157"/>
      <c r="D13" s="436"/>
      <c r="E13" s="436"/>
      <c r="F13" s="436"/>
      <c r="G13" s="156"/>
      <c r="H13" s="157"/>
      <c r="I13" s="191"/>
      <c r="T13" s="180"/>
    </row>
    <row r="14" spans="1:20" s="143" customFormat="1" ht="15" customHeight="1">
      <c r="A14" s="171" t="s">
        <v>573</v>
      </c>
      <c r="B14" s="1149"/>
      <c r="C14" s="192">
        <v>0</v>
      </c>
      <c r="D14" s="437">
        <v>0</v>
      </c>
      <c r="E14" s="437">
        <v>117602804</v>
      </c>
      <c r="F14" s="437">
        <v>0</v>
      </c>
      <c r="G14" s="193">
        <v>0</v>
      </c>
      <c r="H14" s="192">
        <v>33845535</v>
      </c>
      <c r="I14" s="447">
        <f>SUM(C14:H14)</f>
        <v>151448339</v>
      </c>
      <c r="T14" s="169"/>
    </row>
    <row r="15" spans="1:20" s="143" customFormat="1" ht="12.75">
      <c r="A15" s="171" t="s">
        <v>1587</v>
      </c>
      <c r="B15" s="1149"/>
      <c r="C15" s="192"/>
      <c r="D15" s="437"/>
      <c r="E15" s="437"/>
      <c r="F15" s="437"/>
      <c r="G15" s="193"/>
      <c r="H15" s="192"/>
      <c r="I15" s="447"/>
      <c r="T15" s="169"/>
    </row>
    <row r="16" spans="1:20" s="143" customFormat="1" ht="12.75">
      <c r="A16" s="147" t="s">
        <v>687</v>
      </c>
      <c r="B16" s="1146">
        <v>29.2</v>
      </c>
      <c r="C16" s="192">
        <v>0</v>
      </c>
      <c r="D16" s="437">
        <v>0</v>
      </c>
      <c r="E16" s="437">
        <v>0</v>
      </c>
      <c r="F16" s="437"/>
      <c r="G16" s="193"/>
      <c r="H16" s="157">
        <f>'Notes (2)'!I1269</f>
        <v>2131428</v>
      </c>
      <c r="I16" s="447">
        <f>SUM(C16:H16)</f>
        <v>2131428</v>
      </c>
      <c r="T16" s="169"/>
    </row>
    <row r="17" spans="1:20" s="143" customFormat="1" ht="12.75">
      <c r="A17" s="171"/>
      <c r="B17" s="1149"/>
      <c r="C17" s="192"/>
      <c r="D17" s="437"/>
      <c r="E17" s="437"/>
      <c r="F17" s="437"/>
      <c r="G17" s="193"/>
      <c r="H17" s="192"/>
      <c r="I17" s="447"/>
      <c r="T17" s="169"/>
    </row>
    <row r="18" spans="1:20" s="143" customFormat="1" ht="14.25" customHeight="1" thickBot="1">
      <c r="A18" s="171" t="s">
        <v>573</v>
      </c>
      <c r="B18" s="1149"/>
      <c r="C18" s="195">
        <v>0</v>
      </c>
      <c r="D18" s="195">
        <v>0</v>
      </c>
      <c r="E18" s="177">
        <f>E16+E14</f>
        <v>117602804</v>
      </c>
      <c r="F18" s="440"/>
      <c r="G18" s="196"/>
      <c r="H18" s="177">
        <f>H16+H14</f>
        <v>35976963</v>
      </c>
      <c r="I18" s="930">
        <f>I16+I14</f>
        <v>153579767</v>
      </c>
      <c r="T18" s="169"/>
    </row>
    <row r="19" spans="1:20" s="143" customFormat="1" ht="13.5" thickTop="1">
      <c r="A19" s="171"/>
      <c r="B19" s="1149"/>
      <c r="C19" s="192"/>
      <c r="D19" s="437"/>
      <c r="E19" s="437"/>
      <c r="F19" s="437"/>
      <c r="G19" s="193"/>
      <c r="H19" s="458"/>
      <c r="I19" s="447"/>
      <c r="T19" s="181"/>
    </row>
    <row r="20" spans="1:11" ht="12.75">
      <c r="A20" s="147" t="s">
        <v>1587</v>
      </c>
      <c r="B20" s="1146" t="s">
        <v>1587</v>
      </c>
      <c r="C20" s="186"/>
      <c r="D20" s="436" t="s">
        <v>1587</v>
      </c>
      <c r="E20" s="436" t="s">
        <v>1587</v>
      </c>
      <c r="F20" s="435">
        <v>0</v>
      </c>
      <c r="G20" s="187">
        <v>0</v>
      </c>
      <c r="H20" s="157" t="s">
        <v>1587</v>
      </c>
      <c r="I20" s="191" t="s">
        <v>1587</v>
      </c>
      <c r="K20" s="184" t="s">
        <v>422</v>
      </c>
    </row>
    <row r="21" spans="1:9" ht="12.75">
      <c r="A21" s="147" t="s">
        <v>700</v>
      </c>
      <c r="B21" s="1147">
        <v>2.3</v>
      </c>
      <c r="C21" s="435">
        <v>0</v>
      </c>
      <c r="D21" s="435">
        <f>-8501248</f>
        <v>-8501248</v>
      </c>
      <c r="E21" s="435">
        <v>0</v>
      </c>
      <c r="F21" s="435"/>
      <c r="G21" s="187"/>
      <c r="H21" s="435">
        <v>0</v>
      </c>
      <c r="I21" s="188">
        <f>SUM(C21:H21)</f>
        <v>-8501248</v>
      </c>
    </row>
    <row r="22" spans="1:9" ht="12.75">
      <c r="A22" s="147" t="s">
        <v>688</v>
      </c>
      <c r="B22" s="1147"/>
      <c r="C22" s="435">
        <v>0</v>
      </c>
      <c r="D22" s="435">
        <v>0</v>
      </c>
      <c r="E22" s="435">
        <v>0</v>
      </c>
      <c r="F22" s="435"/>
      <c r="G22" s="187"/>
      <c r="H22" s="186">
        <v>48818033</v>
      </c>
      <c r="I22" s="188">
        <f>SUM(C22:H22)</f>
        <v>48818033</v>
      </c>
    </row>
    <row r="23" spans="1:9" ht="12.75">
      <c r="A23" s="147" t="s">
        <v>701</v>
      </c>
      <c r="B23" s="1147">
        <v>29.3</v>
      </c>
      <c r="C23" s="435">
        <v>0</v>
      </c>
      <c r="D23" s="435">
        <v>0</v>
      </c>
      <c r="E23" s="435">
        <v>0</v>
      </c>
      <c r="F23" s="435"/>
      <c r="G23" s="187"/>
      <c r="H23" s="186">
        <f>-656031</f>
        <v>-656031</v>
      </c>
      <c r="I23" s="188">
        <f>SUM(C23:H23)</f>
        <v>-656031</v>
      </c>
    </row>
    <row r="24" spans="1:9" ht="14.25" customHeight="1" thickBot="1">
      <c r="A24" s="171" t="s">
        <v>698</v>
      </c>
      <c r="B24" s="1147"/>
      <c r="C24" s="1035">
        <v>0</v>
      </c>
      <c r="D24" s="177">
        <f>SUM(D21:D23)</f>
        <v>-8501248</v>
      </c>
      <c r="E24" s="177" t="s">
        <v>1587</v>
      </c>
      <c r="F24" s="433"/>
      <c r="G24" s="179"/>
      <c r="H24" s="177">
        <f>SUM(H22:H23)</f>
        <v>48162002</v>
      </c>
      <c r="I24" s="930">
        <f>SUM(D24:H24)</f>
        <v>39660754</v>
      </c>
    </row>
    <row r="25" spans="1:9" ht="13.5" thickTop="1">
      <c r="A25" s="171"/>
      <c r="B25" s="1147"/>
      <c r="C25" s="186"/>
      <c r="D25" s="439"/>
      <c r="E25" s="439"/>
      <c r="F25" s="439"/>
      <c r="G25" s="178"/>
      <c r="H25" s="458"/>
      <c r="I25" s="931"/>
    </row>
    <row r="26" spans="1:9" ht="12.75" hidden="1">
      <c r="A26" s="147" t="s">
        <v>737</v>
      </c>
      <c r="B26" s="1147"/>
      <c r="C26" s="186">
        <v>0</v>
      </c>
      <c r="D26" s="435">
        <v>0</v>
      </c>
      <c r="E26" s="435">
        <v>0</v>
      </c>
      <c r="F26" s="435"/>
      <c r="G26" s="187"/>
      <c r="H26" s="186">
        <v>0</v>
      </c>
      <c r="I26" s="188">
        <f>SUM(C26:H26)</f>
        <v>0</v>
      </c>
    </row>
    <row r="27" spans="1:9" ht="12.75">
      <c r="A27" s="147" t="s">
        <v>952</v>
      </c>
      <c r="B27" s="1147"/>
      <c r="C27" s="186">
        <v>0</v>
      </c>
      <c r="D27" s="435">
        <v>0</v>
      </c>
      <c r="E27" s="435">
        <v>34312298</v>
      </c>
      <c r="F27" s="435"/>
      <c r="G27" s="187"/>
      <c r="H27" s="186">
        <v>-34312298</v>
      </c>
      <c r="I27" s="188">
        <f>SUM(C27:H27)</f>
        <v>0</v>
      </c>
    </row>
    <row r="28" spans="1:9" ht="12.75">
      <c r="A28" s="147" t="s">
        <v>405</v>
      </c>
      <c r="B28" s="1147"/>
      <c r="C28" s="186">
        <v>0</v>
      </c>
      <c r="D28" s="435">
        <v>0</v>
      </c>
      <c r="E28" s="435">
        <v>-1245797</v>
      </c>
      <c r="F28" s="435"/>
      <c r="G28" s="187"/>
      <c r="H28" s="186">
        <v>1245797</v>
      </c>
      <c r="I28" s="188">
        <f>SUM(C28:H28)</f>
        <v>0</v>
      </c>
    </row>
    <row r="29" spans="1:21" ht="12.75">
      <c r="A29" s="147" t="s">
        <v>1344</v>
      </c>
      <c r="B29" s="1147">
        <v>29.3</v>
      </c>
      <c r="C29" s="435">
        <v>0</v>
      </c>
      <c r="D29" s="435">
        <v>0</v>
      </c>
      <c r="E29" s="435">
        <v>0</v>
      </c>
      <c r="F29" s="435"/>
      <c r="G29" s="187"/>
      <c r="H29" s="186">
        <f>'Notes (2)'!I1329</f>
        <v>-61205192</v>
      </c>
      <c r="I29" s="188">
        <f>SUM(C29:H29)</f>
        <v>-61205192</v>
      </c>
      <c r="U29" s="144"/>
    </row>
    <row r="30" spans="1:20" s="175" customFormat="1" ht="14.25" customHeight="1" thickBot="1">
      <c r="A30" s="171" t="s">
        <v>571</v>
      </c>
      <c r="B30" s="1148"/>
      <c r="C30" s="693">
        <v>0</v>
      </c>
      <c r="D30" s="438">
        <f>D21</f>
        <v>-8501248</v>
      </c>
      <c r="E30" s="433">
        <f>E28+E27+E18</f>
        <v>150669305</v>
      </c>
      <c r="F30" s="459">
        <f>SUM(F14:F28)</f>
        <v>0</v>
      </c>
      <c r="G30" s="459">
        <f>SUM(G14:G28)</f>
        <v>0</v>
      </c>
      <c r="H30" s="459">
        <f>H18+H24+H27+H28+H29+H26</f>
        <v>-10132728</v>
      </c>
      <c r="I30" s="1036">
        <f>I18+I24+I27+I28+I29+I26</f>
        <v>132035329</v>
      </c>
      <c r="T30" s="181"/>
    </row>
    <row r="31" spans="1:11" ht="13.5" thickTop="1">
      <c r="A31" s="194"/>
      <c r="B31" s="1147"/>
      <c r="C31" s="1037"/>
      <c r="D31" s="435"/>
      <c r="E31" s="435"/>
      <c r="F31" s="435"/>
      <c r="G31" s="187"/>
      <c r="H31" s="186"/>
      <c r="I31" s="188"/>
      <c r="J31" s="197" t="s">
        <v>406</v>
      </c>
      <c r="K31" s="197" t="s">
        <v>474</v>
      </c>
    </row>
    <row r="32" spans="1:20" s="144" customFormat="1" ht="12.75">
      <c r="A32" s="190">
        <v>2009</v>
      </c>
      <c r="B32" s="1148"/>
      <c r="C32" s="157"/>
      <c r="D32" s="436"/>
      <c r="E32" s="436"/>
      <c r="F32" s="436"/>
      <c r="G32" s="156"/>
      <c r="H32" s="157"/>
      <c r="I32" s="191"/>
      <c r="T32" s="168"/>
    </row>
    <row r="33" spans="1:9" ht="12.75">
      <c r="A33" s="434"/>
      <c r="B33" s="1149"/>
      <c r="C33" s="186"/>
      <c r="D33" s="435"/>
      <c r="E33" s="435"/>
      <c r="F33" s="435"/>
      <c r="G33" s="187"/>
      <c r="H33" s="186"/>
      <c r="I33" s="188"/>
    </row>
    <row r="34" spans="1:9" ht="12.75">
      <c r="A34" s="147" t="s">
        <v>122</v>
      </c>
      <c r="B34" s="1146">
        <v>10.1</v>
      </c>
      <c r="C34" s="186">
        <f>-2096568626+6910548321</f>
        <v>4813979695</v>
      </c>
      <c r="D34" s="435">
        <v>0</v>
      </c>
      <c r="E34" s="435">
        <v>0</v>
      </c>
      <c r="F34" s="435"/>
      <c r="G34" s="187"/>
      <c r="H34" s="435">
        <v>0</v>
      </c>
      <c r="I34" s="188">
        <f>SUM(C34:H34)</f>
        <v>4813979695</v>
      </c>
    </row>
    <row r="35" spans="1:9" ht="12.75">
      <c r="A35" s="147" t="s">
        <v>31</v>
      </c>
      <c r="B35" s="1147">
        <v>29.3</v>
      </c>
      <c r="C35" s="435">
        <v>0</v>
      </c>
      <c r="D35" s="435">
        <v>0</v>
      </c>
      <c r="E35" s="436">
        <v>0</v>
      </c>
      <c r="F35" s="435">
        <v>0</v>
      </c>
      <c r="G35" s="187">
        <v>0</v>
      </c>
      <c r="H35" s="186">
        <f>'Notes (2)'!G1290</f>
        <v>86250976</v>
      </c>
      <c r="I35" s="188">
        <f>SUM(C35:H35)</f>
        <v>86250976</v>
      </c>
    </row>
    <row r="36" spans="1:9" ht="12.75">
      <c r="A36" s="194" t="s">
        <v>895</v>
      </c>
      <c r="B36" s="1147"/>
      <c r="C36" s="186">
        <v>0</v>
      </c>
      <c r="D36" s="435">
        <v>0</v>
      </c>
      <c r="E36" s="436">
        <v>0</v>
      </c>
      <c r="F36" s="435">
        <v>0</v>
      </c>
      <c r="G36" s="187">
        <v>0</v>
      </c>
      <c r="H36" s="186">
        <f>'Grap i&amp;E'!D41</f>
        <v>146115403</v>
      </c>
      <c r="I36" s="188">
        <f>SUM(C36:H36)</f>
        <v>146115403</v>
      </c>
    </row>
    <row r="37" spans="1:9" ht="12.75">
      <c r="A37" s="194" t="s">
        <v>952</v>
      </c>
      <c r="B37" s="1147"/>
      <c r="C37" s="186">
        <v>0</v>
      </c>
      <c r="D37" s="435">
        <v>0</v>
      </c>
      <c r="E37" s="435">
        <v>64254476</v>
      </c>
      <c r="F37" s="435">
        <v>0</v>
      </c>
      <c r="G37" s="187">
        <v>0</v>
      </c>
      <c r="H37" s="186">
        <f>-E37</f>
        <v>-64254476</v>
      </c>
      <c r="I37" s="188">
        <f>SUM(C37:H37)</f>
        <v>0</v>
      </c>
    </row>
    <row r="38" spans="1:20" ht="12.75">
      <c r="A38" s="147" t="s">
        <v>405</v>
      </c>
      <c r="B38" s="1147"/>
      <c r="C38" s="186">
        <v>0</v>
      </c>
      <c r="D38" s="435">
        <v>0</v>
      </c>
      <c r="E38" s="435">
        <v>-3460583</v>
      </c>
      <c r="F38" s="435">
        <v>0</v>
      </c>
      <c r="G38" s="187">
        <v>0</v>
      </c>
      <c r="H38" s="186">
        <f>-E38</f>
        <v>3460583</v>
      </c>
      <c r="I38" s="188">
        <f>SUM(C38:H38)</f>
        <v>0</v>
      </c>
      <c r="K38" s="184" t="s">
        <v>407</v>
      </c>
      <c r="T38" s="168"/>
    </row>
    <row r="39" spans="1:9" ht="12.75">
      <c r="A39" s="147" t="s">
        <v>699</v>
      </c>
      <c r="B39" s="1147">
        <v>2.3</v>
      </c>
      <c r="C39" s="186">
        <v>0</v>
      </c>
      <c r="D39" s="435">
        <f>-(D30-D40)</f>
        <v>5315857</v>
      </c>
      <c r="E39" s="435">
        <v>0</v>
      </c>
      <c r="F39" s="435"/>
      <c r="G39" s="187"/>
      <c r="H39" s="186">
        <v>0</v>
      </c>
      <c r="I39" s="188">
        <f>D39</f>
        <v>5315857</v>
      </c>
    </row>
    <row r="40" spans="1:20" s="175" customFormat="1" ht="14.25" customHeight="1" thickBot="1">
      <c r="A40" s="171" t="s">
        <v>572</v>
      </c>
      <c r="B40" s="1148"/>
      <c r="C40" s="177">
        <f>C34</f>
        <v>4813979695</v>
      </c>
      <c r="D40" s="433">
        <v>-3185391</v>
      </c>
      <c r="E40" s="433">
        <f>SUM(E30:E39)</f>
        <v>211463198</v>
      </c>
      <c r="F40" s="433">
        <f>SUM(F31:F38)</f>
        <v>0</v>
      </c>
      <c r="G40" s="444">
        <f>SUM(G31:G38)</f>
        <v>0</v>
      </c>
      <c r="H40" s="177">
        <f>SUM(H30:H38)</f>
        <v>161439758</v>
      </c>
      <c r="I40" s="448">
        <f>SUM(I30:I39)</f>
        <v>5183697260</v>
      </c>
      <c r="T40" s="181"/>
    </row>
    <row r="41" spans="1:20" s="144" customFormat="1" ht="14.25" thickBot="1" thickTop="1">
      <c r="A41" s="198"/>
      <c r="B41" s="1153"/>
      <c r="C41" s="452"/>
      <c r="D41" s="689"/>
      <c r="E41" s="689"/>
      <c r="F41" s="199"/>
      <c r="G41" s="199"/>
      <c r="H41" s="453" t="s">
        <v>1587</v>
      </c>
      <c r="I41" s="200"/>
      <c r="K41" s="201">
        <f>'Grap Balance Sheet'!D14</f>
        <v>161439758</v>
      </c>
      <c r="T41" s="168"/>
    </row>
    <row r="42" spans="2:20" s="144" customFormat="1" ht="12.75">
      <c r="B42" s="1150"/>
      <c r="H42" s="202"/>
      <c r="J42" s="153"/>
      <c r="T42" s="168"/>
    </row>
    <row r="43" spans="4:8" ht="12.75">
      <c r="D43" s="144" t="s">
        <v>158</v>
      </c>
      <c r="H43" s="204" t="s">
        <v>1587</v>
      </c>
    </row>
  </sheetData>
  <sheetProtection/>
  <mergeCells count="1">
    <mergeCell ref="A7:I7"/>
  </mergeCells>
  <printOptions horizontalCentered="1"/>
  <pageMargins left="0.03937007874015748" right="0.11811023622047245" top="0.984251968503937" bottom="0.984251968503937" header="0.5905511811023623" footer="0.5118110236220472"/>
  <pageSetup horizontalDpi="600" verticalDpi="600" orientation="landscape" paperSize="9" scale="70" r:id="rId2"/>
  <headerFooter alignWithMargins="0">
    <oddHeader>&amp;C&amp;G</oddHeader>
    <oddFooter>&amp;C- 4 -</oddFooter>
  </headerFooter>
  <legacyDrawingHF r:id="rId1"/>
</worksheet>
</file>

<file path=xl/worksheets/sheet8.xml><?xml version="1.0" encoding="utf-8"?>
<worksheet xmlns="http://schemas.openxmlformats.org/spreadsheetml/2006/main" xmlns:r="http://schemas.openxmlformats.org/officeDocument/2006/relationships">
  <dimension ref="A1:V49"/>
  <sheetViews>
    <sheetView zoomScalePageLayoutView="0" workbookViewId="0" topLeftCell="A13">
      <selection activeCell="D14" sqref="D14"/>
    </sheetView>
  </sheetViews>
  <sheetFormatPr defaultColWidth="9.140625" defaultRowHeight="12.75"/>
  <cols>
    <col min="1" max="1" width="51.28125" style="184" customWidth="1"/>
    <col min="2" max="2" width="4.57421875" style="184" bestFit="1" customWidth="1"/>
    <col min="3" max="3" width="15.8515625" style="184" customWidth="1"/>
    <col min="4" max="4" width="1.57421875" style="184" customWidth="1"/>
    <col min="5" max="5" width="16.00390625" style="184" customWidth="1"/>
    <col min="6" max="6" width="1.8515625" style="141" customWidth="1"/>
    <col min="7" max="7" width="0.71875" style="184" hidden="1" customWidth="1"/>
    <col min="8" max="8" width="12.7109375" style="184" hidden="1" customWidth="1"/>
    <col min="9" max="9" width="48.28125" style="677" hidden="1" customWidth="1"/>
    <col min="10" max="10" width="49.7109375" style="677" hidden="1" customWidth="1"/>
    <col min="11" max="11" width="12.28125" style="677" hidden="1" customWidth="1"/>
    <col min="12" max="12" width="5.28125" style="677" hidden="1" customWidth="1"/>
    <col min="13" max="14" width="15.00390625" style="678" hidden="1" customWidth="1"/>
    <col min="15" max="15" width="9.8515625" style="677" bestFit="1" customWidth="1"/>
    <col min="16" max="16" width="15.57421875" style="678" hidden="1" customWidth="1"/>
    <col min="17" max="17" width="12.8515625" style="677" hidden="1" customWidth="1"/>
    <col min="18" max="18" width="3.8515625" style="184" customWidth="1"/>
    <col min="19" max="19" width="3.28125" style="141" customWidth="1"/>
    <col min="20" max="20" width="4.28125" style="184" customWidth="1"/>
    <col min="21" max="21" width="4.421875" style="184" customWidth="1"/>
    <col min="22" max="22" width="6.7109375" style="184" customWidth="1"/>
    <col min="23" max="23" width="3.140625" style="184" customWidth="1"/>
    <col min="24" max="24" width="7.00390625" style="184" customWidth="1"/>
    <col min="25" max="25" width="3.140625" style="184" customWidth="1"/>
    <col min="26" max="26" width="10.00390625" style="184" customWidth="1"/>
    <col min="27" max="27" width="3.7109375" style="184" customWidth="1"/>
    <col min="28" max="28" width="5.140625" style="184" customWidth="1"/>
    <col min="29" max="29" width="9.140625" style="184" customWidth="1"/>
    <col min="30" max="30" width="4.28125" style="184" customWidth="1"/>
    <col min="31" max="31" width="2.57421875" style="184" customWidth="1"/>
    <col min="32" max="32" width="5.00390625" style="184" customWidth="1"/>
    <col min="33" max="33" width="3.7109375" style="184" customWidth="1"/>
    <col min="34" max="34" width="6.00390625" style="184" customWidth="1"/>
    <col min="35" max="35" width="11.00390625" style="184" customWidth="1"/>
    <col min="36" max="36" width="5.7109375" style="184" customWidth="1"/>
    <col min="37" max="16384" width="9.140625" style="184" customWidth="1"/>
  </cols>
  <sheetData>
    <row r="1" spans="1:19" s="144" customFormat="1" ht="132" customHeight="1">
      <c r="A1" s="1258"/>
      <c r="B1" s="1258"/>
      <c r="C1" s="1258"/>
      <c r="D1" s="1258"/>
      <c r="E1" s="1258"/>
      <c r="F1" s="1258"/>
      <c r="G1" s="1258"/>
      <c r="I1" s="677"/>
      <c r="J1" s="677"/>
      <c r="K1" s="677"/>
      <c r="L1" s="677"/>
      <c r="M1" s="678"/>
      <c r="N1" s="678"/>
      <c r="O1" s="677"/>
      <c r="P1" s="678"/>
      <c r="Q1" s="677"/>
      <c r="S1" s="170"/>
    </row>
    <row r="2" spans="1:7" ht="15.75">
      <c r="A2" s="1259" t="s">
        <v>594</v>
      </c>
      <c r="B2" s="1259"/>
      <c r="C2" s="1259"/>
      <c r="D2" s="1259"/>
      <c r="E2" s="1259"/>
      <c r="F2" s="1259"/>
      <c r="G2" s="1259"/>
    </row>
    <row r="3" spans="1:7" ht="13.5" thickBot="1">
      <c r="A3" s="449"/>
      <c r="B3" s="449"/>
      <c r="C3" s="449"/>
      <c r="D3" s="449"/>
      <c r="E3" s="449"/>
      <c r="F3" s="449"/>
      <c r="G3" s="461"/>
    </row>
    <row r="4" spans="1:19" s="144" customFormat="1" ht="13.5" thickBot="1">
      <c r="A4" s="462"/>
      <c r="B4" s="500" t="s">
        <v>1599</v>
      </c>
      <c r="C4" s="501">
        <v>2009</v>
      </c>
      <c r="D4" s="502"/>
      <c r="E4" s="503">
        <v>2008</v>
      </c>
      <c r="F4" s="464"/>
      <c r="G4" s="463"/>
      <c r="I4" s="677"/>
      <c r="J4" s="677"/>
      <c r="K4" s="677"/>
      <c r="L4" s="677"/>
      <c r="M4" s="678"/>
      <c r="N4" s="678"/>
      <c r="O4" s="677"/>
      <c r="P4" s="678"/>
      <c r="Q4" s="677"/>
      <c r="S4" s="170"/>
    </row>
    <row r="5" spans="1:7" ht="12.75">
      <c r="A5" s="147"/>
      <c r="B5" s="450"/>
      <c r="C5" s="499" t="s">
        <v>1186</v>
      </c>
      <c r="D5" s="176"/>
      <c r="E5" s="504" t="s">
        <v>1186</v>
      </c>
      <c r="F5" s="176"/>
      <c r="G5" s="176"/>
    </row>
    <row r="6" spans="1:9" ht="12.75">
      <c r="A6" s="147"/>
      <c r="B6" s="450"/>
      <c r="C6" s="499"/>
      <c r="D6" s="176"/>
      <c r="E6" s="504"/>
      <c r="F6" s="176"/>
      <c r="G6" s="176"/>
      <c r="H6" s="151" t="s">
        <v>1587</v>
      </c>
      <c r="I6" s="677" t="s">
        <v>1587</v>
      </c>
    </row>
    <row r="7" spans="1:16" ht="12.75">
      <c r="A7" s="171" t="s">
        <v>896</v>
      </c>
      <c r="B7" s="486"/>
      <c r="C7" s="486"/>
      <c r="D7" s="170"/>
      <c r="E7" s="505"/>
      <c r="G7" s="141"/>
      <c r="M7" s="678">
        <f>'Notes (2)'!I928</f>
        <v>122108100</v>
      </c>
      <c r="P7" s="678" t="s">
        <v>939</v>
      </c>
    </row>
    <row r="8" spans="1:16" ht="12.75">
      <c r="A8" s="194"/>
      <c r="B8" s="487"/>
      <c r="C8" s="487"/>
      <c r="D8" s="141"/>
      <c r="E8" s="506"/>
      <c r="G8" s="141"/>
      <c r="I8" s="677" t="s">
        <v>918</v>
      </c>
      <c r="N8" s="678">
        <f>E9+E10</f>
        <v>122108100</v>
      </c>
      <c r="P8" s="679">
        <f>-'Grap i&amp;E'!D39</f>
        <v>-874904421</v>
      </c>
    </row>
    <row r="9" spans="1:17" ht="12.75">
      <c r="A9" s="147" t="s">
        <v>839</v>
      </c>
      <c r="B9" s="487"/>
      <c r="C9" s="488">
        <f>'Grap i&amp;E'!D22-'Notes (2)'!G922-'Notes (2)'!G923-17359310-26554+1089548</f>
        <v>1026673461</v>
      </c>
      <c r="D9" s="141"/>
      <c r="E9" s="507">
        <f>787369269-'Notes (2)'!I1306+'Notes (2)'!I1302</f>
        <v>789334446</v>
      </c>
      <c r="F9" s="267"/>
      <c r="G9" s="267"/>
      <c r="I9" s="677" t="s">
        <v>912</v>
      </c>
      <c r="P9" s="678">
        <f>'Notes (2)'!G925</f>
        <v>-1597092</v>
      </c>
      <c r="Q9" s="677" t="s">
        <v>941</v>
      </c>
    </row>
    <row r="10" spans="1:21" ht="12.75">
      <c r="A10" s="194" t="s">
        <v>1687</v>
      </c>
      <c r="B10" s="441"/>
      <c r="C10" s="489">
        <f>-(C9-C11)</f>
        <v>-913198106</v>
      </c>
      <c r="D10" s="141"/>
      <c r="E10" s="705">
        <f>-(E9-E11)</f>
        <v>-667226346</v>
      </c>
      <c r="F10" s="267"/>
      <c r="G10" s="267"/>
      <c r="I10" s="677" t="s">
        <v>861</v>
      </c>
      <c r="K10" s="680"/>
      <c r="M10" s="678">
        <f>773900893+C10</f>
        <v>-139297213</v>
      </c>
      <c r="N10" s="678">
        <f>C9+C10</f>
        <v>113475355</v>
      </c>
      <c r="P10" s="678">
        <f>'Grap i&amp;E'!D29</f>
        <v>9227939</v>
      </c>
      <c r="Q10" s="677" t="s">
        <v>940</v>
      </c>
      <c r="U10" s="268"/>
    </row>
    <row r="11" spans="1:22" s="144" customFormat="1" ht="12.75">
      <c r="A11" s="194" t="s">
        <v>1688</v>
      </c>
      <c r="B11" s="441">
        <v>25</v>
      </c>
      <c r="C11" s="488">
        <f>'Notes (2)'!G928</f>
        <v>113475355</v>
      </c>
      <c r="D11" s="141"/>
      <c r="E11" s="507">
        <f>'Notes (2)'!I928</f>
        <v>122108100</v>
      </c>
      <c r="F11" s="267"/>
      <c r="G11" s="267"/>
      <c r="H11" s="197" t="s">
        <v>1587</v>
      </c>
      <c r="I11" s="681" t="s">
        <v>631</v>
      </c>
      <c r="J11" s="677" t="s">
        <v>423</v>
      </c>
      <c r="K11" s="682">
        <f>'Notes (2)'!G928</f>
        <v>113475355</v>
      </c>
      <c r="L11" s="677"/>
      <c r="M11" s="683">
        <f>'Notes (2)'!G928</f>
        <v>113475355</v>
      </c>
      <c r="N11" s="678">
        <f>M11-N10</f>
        <v>0</v>
      </c>
      <c r="O11" s="677"/>
      <c r="P11" s="678" t="str">
        <f>'Notes (2)'!E365</f>
        <v> </v>
      </c>
      <c r="Q11" s="677" t="s">
        <v>942</v>
      </c>
      <c r="S11" s="170"/>
      <c r="T11" s="151"/>
      <c r="U11" s="151"/>
      <c r="V11" s="151"/>
    </row>
    <row r="12" spans="1:21" s="144" customFormat="1" ht="12.75">
      <c r="A12" s="147"/>
      <c r="B12" s="149"/>
      <c r="C12" s="145"/>
      <c r="D12" s="170"/>
      <c r="E12" s="345"/>
      <c r="F12" s="269"/>
      <c r="G12" s="269"/>
      <c r="I12" s="677"/>
      <c r="J12" s="677"/>
      <c r="K12" s="682">
        <f>K11-K10</f>
        <v>113475355</v>
      </c>
      <c r="L12" s="677"/>
      <c r="M12" s="678">
        <f>C11-M11</f>
        <v>0</v>
      </c>
      <c r="N12" s="678" t="s">
        <v>943</v>
      </c>
      <c r="O12" s="677"/>
      <c r="P12" s="678">
        <f>SUM(P8:P11)</f>
        <v>-867273574</v>
      </c>
      <c r="Q12" s="677"/>
      <c r="S12" s="170"/>
      <c r="U12" s="151"/>
    </row>
    <row r="13" spans="1:19" s="144" customFormat="1" ht="12.75">
      <c r="A13" s="147" t="s">
        <v>1689</v>
      </c>
      <c r="B13" s="149"/>
      <c r="C13" s="490">
        <f>'Grap i&amp;E'!D11</f>
        <v>15169682</v>
      </c>
      <c r="D13" s="170"/>
      <c r="E13" s="508">
        <f>'Grap i&amp;E'!F11</f>
        <v>3865552</v>
      </c>
      <c r="F13" s="269"/>
      <c r="G13" s="269"/>
      <c r="I13" s="677" t="s">
        <v>859</v>
      </c>
      <c r="J13" s="677" t="s">
        <v>521</v>
      </c>
      <c r="K13" s="677"/>
      <c r="L13" s="677"/>
      <c r="M13" s="678"/>
      <c r="N13" s="678"/>
      <c r="O13" s="677"/>
      <c r="P13" s="678"/>
      <c r="Q13" s="677"/>
      <c r="S13" s="170"/>
    </row>
    <row r="14" spans="1:19" s="144" customFormat="1" ht="12.75">
      <c r="A14" s="147" t="s">
        <v>1476</v>
      </c>
      <c r="B14" s="149">
        <v>22</v>
      </c>
      <c r="C14" s="490">
        <f>-'Grap i&amp;E'!D32</f>
        <v>-36619701</v>
      </c>
      <c r="D14" s="170"/>
      <c r="E14" s="508">
        <f>-'Notes (2)'!I851</f>
        <v>-35724656</v>
      </c>
      <c r="F14" s="269"/>
      <c r="G14" s="269"/>
      <c r="I14" s="677" t="s">
        <v>859</v>
      </c>
      <c r="J14" s="677" t="s">
        <v>522</v>
      </c>
      <c r="K14" s="677"/>
      <c r="L14" s="677"/>
      <c r="M14" s="678"/>
      <c r="N14" s="678"/>
      <c r="O14" s="677"/>
      <c r="P14" s="678"/>
      <c r="Q14" s="677"/>
      <c r="S14" s="170"/>
    </row>
    <row r="15" spans="1:19" s="144" customFormat="1" ht="12.75">
      <c r="A15" s="147"/>
      <c r="B15" s="149"/>
      <c r="C15" s="146"/>
      <c r="D15" s="170"/>
      <c r="E15" s="509"/>
      <c r="F15" s="269"/>
      <c r="G15" s="269"/>
      <c r="I15" s="677"/>
      <c r="J15" s="677"/>
      <c r="K15" s="677"/>
      <c r="L15" s="677"/>
      <c r="M15" s="678"/>
      <c r="N15" s="678"/>
      <c r="O15" s="677"/>
      <c r="P15" s="678">
        <f>'Grap i&amp;E'!D22</f>
        <v>1021019824</v>
      </c>
      <c r="Q15" s="677"/>
      <c r="S15" s="170"/>
    </row>
    <row r="16" spans="1:19" s="144" customFormat="1" ht="13.5" thickBot="1">
      <c r="A16" s="132"/>
      <c r="B16" s="442"/>
      <c r="C16" s="491">
        <f>SUM(C11:C15)</f>
        <v>92025336</v>
      </c>
      <c r="D16" s="4"/>
      <c r="E16" s="510">
        <f>SUM(E11:E15)</f>
        <v>90248996</v>
      </c>
      <c r="F16" s="270"/>
      <c r="G16" s="270"/>
      <c r="I16" s="677"/>
      <c r="J16" s="677"/>
      <c r="K16" s="677"/>
      <c r="L16" s="677"/>
      <c r="M16" s="678"/>
      <c r="N16" s="678"/>
      <c r="O16" s="677"/>
      <c r="P16" s="678">
        <f>-'Notes (2)'!G923</f>
        <v>16783085</v>
      </c>
      <c r="Q16" s="677"/>
      <c r="S16" s="170"/>
    </row>
    <row r="17" spans="1:17" ht="13.5" thickTop="1">
      <c r="A17" s="147"/>
      <c r="B17" s="149"/>
      <c r="C17" s="492"/>
      <c r="D17" s="4"/>
      <c r="E17" s="511"/>
      <c r="F17" s="267"/>
      <c r="G17" s="267"/>
      <c r="P17" s="678">
        <f>-'Notes (2)'!G922</f>
        <v>5166868</v>
      </c>
      <c r="Q17" s="678">
        <v>29422796</v>
      </c>
    </row>
    <row r="18" spans="1:19" s="144" customFormat="1" ht="12.75">
      <c r="A18" s="171" t="s">
        <v>1690</v>
      </c>
      <c r="B18" s="149"/>
      <c r="C18" s="145"/>
      <c r="D18" s="170"/>
      <c r="E18" s="345"/>
      <c r="F18" s="269"/>
      <c r="G18" s="269"/>
      <c r="I18" s="677"/>
      <c r="J18" s="677"/>
      <c r="K18" s="677"/>
      <c r="L18" s="677"/>
      <c r="M18" s="678"/>
      <c r="N18" s="678"/>
      <c r="O18" s="677"/>
      <c r="P18" s="678">
        <f>SUM(P15:P17)</f>
        <v>1042969777</v>
      </c>
      <c r="Q18" s="677"/>
      <c r="S18" s="170"/>
    </row>
    <row r="19" spans="1:19" s="144" customFormat="1" ht="12.75">
      <c r="A19" s="147"/>
      <c r="B19" s="149"/>
      <c r="C19" s="145"/>
      <c r="D19" s="170"/>
      <c r="E19" s="345"/>
      <c r="F19" s="269"/>
      <c r="G19" s="269"/>
      <c r="I19" s="677"/>
      <c r="J19" s="677"/>
      <c r="K19" s="677"/>
      <c r="L19" s="677"/>
      <c r="M19" s="678"/>
      <c r="N19" s="678"/>
      <c r="O19" s="677"/>
      <c r="P19" s="678" t="s">
        <v>1587</v>
      </c>
      <c r="Q19" s="677"/>
      <c r="S19" s="170"/>
    </row>
    <row r="20" spans="1:19" s="144" customFormat="1" ht="12.75">
      <c r="A20" s="147" t="s">
        <v>1691</v>
      </c>
      <c r="B20" s="149">
        <v>10</v>
      </c>
      <c r="C20" s="490">
        <f>-'GRAP APP B'!D70</f>
        <v>-101154390</v>
      </c>
      <c r="D20" s="170"/>
      <c r="E20" s="508">
        <f>-53877849</f>
        <v>-53877849</v>
      </c>
      <c r="F20" s="269"/>
      <c r="G20" s="269"/>
      <c r="H20" s="271"/>
      <c r="I20" s="677" t="s">
        <v>917</v>
      </c>
      <c r="J20" s="677" t="s">
        <v>342</v>
      </c>
      <c r="K20" s="677"/>
      <c r="L20" s="677"/>
      <c r="M20" s="678">
        <f>53877849-51933849</f>
        <v>1944000</v>
      </c>
      <c r="N20" s="678" t="s">
        <v>1587</v>
      </c>
      <c r="O20" s="677"/>
      <c r="P20" s="678" t="s">
        <v>1587</v>
      </c>
      <c r="Q20" s="677"/>
      <c r="S20" s="170"/>
    </row>
    <row r="21" spans="1:19" s="144" customFormat="1" ht="12.75" hidden="1">
      <c r="A21" s="147" t="s">
        <v>1053</v>
      </c>
      <c r="B21" s="149">
        <v>11</v>
      </c>
      <c r="C21" s="490">
        <v>0</v>
      </c>
      <c r="D21" s="170"/>
      <c r="E21" s="508" t="s">
        <v>957</v>
      </c>
      <c r="F21" s="269"/>
      <c r="G21" s="269"/>
      <c r="H21" s="271"/>
      <c r="I21" s="677"/>
      <c r="J21" s="677"/>
      <c r="K21" s="677"/>
      <c r="L21" s="677"/>
      <c r="M21" s="678"/>
      <c r="N21" s="678"/>
      <c r="O21" s="677"/>
      <c r="P21" s="678"/>
      <c r="Q21" s="677"/>
      <c r="S21" s="170"/>
    </row>
    <row r="22" spans="1:19" s="144" customFormat="1" ht="12.75">
      <c r="A22" s="147" t="s">
        <v>1564</v>
      </c>
      <c r="B22" s="149"/>
      <c r="C22" s="490">
        <f>-('Grap Balance Sheet'!D37+'Grap Balance Sheet'!D49-'Grap Balance Sheet'!F37-'Grap Balance Sheet'!F49)+1</f>
        <v>875500</v>
      </c>
      <c r="D22" s="170"/>
      <c r="E22" s="508">
        <v>6855454</v>
      </c>
      <c r="F22" s="269"/>
      <c r="G22" s="269"/>
      <c r="H22" s="271"/>
      <c r="I22" s="677" t="s">
        <v>865</v>
      </c>
      <c r="J22" s="677" t="s">
        <v>432</v>
      </c>
      <c r="K22" s="677"/>
      <c r="L22" s="677"/>
      <c r="M22" s="678" t="s">
        <v>1587</v>
      </c>
      <c r="N22" s="678" t="s">
        <v>1587</v>
      </c>
      <c r="O22" s="677"/>
      <c r="P22" s="678" t="s">
        <v>1587</v>
      </c>
      <c r="Q22" s="677"/>
      <c r="S22" s="170"/>
    </row>
    <row r="23" spans="1:19" s="144" customFormat="1" ht="12.75">
      <c r="A23" s="147" t="s">
        <v>34</v>
      </c>
      <c r="B23" s="149">
        <v>9</v>
      </c>
      <c r="C23" s="490">
        <f>'Grap Balance Sheet'!F36-'Grap Balance Sheet'!D36</f>
        <v>-8038969</v>
      </c>
      <c r="D23" s="170"/>
      <c r="E23" s="508">
        <v>3890840</v>
      </c>
      <c r="F23" s="269"/>
      <c r="G23" s="269"/>
      <c r="H23" s="271"/>
      <c r="I23" s="677" t="s">
        <v>916</v>
      </c>
      <c r="J23" s="677" t="s">
        <v>434</v>
      </c>
      <c r="K23" s="677"/>
      <c r="L23" s="677"/>
      <c r="M23" s="678"/>
      <c r="N23" s="678"/>
      <c r="O23" s="677"/>
      <c r="P23" s="678">
        <v>117468113</v>
      </c>
      <c r="Q23" s="677"/>
      <c r="S23" s="170"/>
    </row>
    <row r="24" spans="1:19" s="144" customFormat="1" ht="12.75">
      <c r="A24" s="147" t="s">
        <v>35</v>
      </c>
      <c r="B24" s="149"/>
      <c r="C24" s="145">
        <f>-148437</f>
        <v>-148437</v>
      </c>
      <c r="D24" s="170"/>
      <c r="E24" s="345">
        <f>-132437</f>
        <v>-132437</v>
      </c>
      <c r="F24" s="269"/>
      <c r="G24" s="269"/>
      <c r="H24" s="269" t="s">
        <v>1587</v>
      </c>
      <c r="I24" s="677" t="s">
        <v>916</v>
      </c>
      <c r="J24" s="677" t="s">
        <v>435</v>
      </c>
      <c r="K24" s="677"/>
      <c r="L24" s="677"/>
      <c r="M24" s="678"/>
      <c r="N24" s="678"/>
      <c r="O24" s="677"/>
      <c r="P24" s="678">
        <v>662828371</v>
      </c>
      <c r="Q24" s="677"/>
      <c r="S24" s="170"/>
    </row>
    <row r="25" spans="1:19" s="144" customFormat="1" ht="12.75">
      <c r="A25" s="147"/>
      <c r="B25" s="149"/>
      <c r="C25" s="146"/>
      <c r="D25" s="170"/>
      <c r="E25" s="509"/>
      <c r="F25" s="269"/>
      <c r="G25" s="269"/>
      <c r="H25" s="269"/>
      <c r="I25" s="677"/>
      <c r="J25" s="677"/>
      <c r="K25" s="677"/>
      <c r="L25" s="677"/>
      <c r="M25" s="678"/>
      <c r="N25" s="678"/>
      <c r="O25" s="677"/>
      <c r="P25" s="678"/>
      <c r="Q25" s="677"/>
      <c r="S25" s="170"/>
    </row>
    <row r="26" spans="1:19" s="144" customFormat="1" ht="13.5" thickBot="1">
      <c r="A26" s="132"/>
      <c r="B26" s="441"/>
      <c r="C26" s="493">
        <f>SUM(C20:C24)</f>
        <v>-108466296</v>
      </c>
      <c r="D26" s="464"/>
      <c r="E26" s="512">
        <f>SUM(E20:E24)</f>
        <v>-43263992</v>
      </c>
      <c r="F26" s="269"/>
      <c r="G26" s="269"/>
      <c r="H26" s="271"/>
      <c r="I26" s="677"/>
      <c r="J26" s="677"/>
      <c r="K26" s="677"/>
      <c r="L26" s="677"/>
      <c r="M26" s="678"/>
      <c r="N26" s="678"/>
      <c r="O26" s="677"/>
      <c r="P26" s="678">
        <f>SUM(P23:P24)</f>
        <v>780296484</v>
      </c>
      <c r="Q26" s="677"/>
      <c r="S26" s="170"/>
    </row>
    <row r="27" spans="1:19" s="144" customFormat="1" ht="13.5" thickTop="1">
      <c r="A27" s="147"/>
      <c r="B27" s="149"/>
      <c r="C27" s="145"/>
      <c r="D27" s="170"/>
      <c r="E27" s="345"/>
      <c r="F27" s="269"/>
      <c r="G27" s="269"/>
      <c r="H27" s="170"/>
      <c r="I27" s="677"/>
      <c r="J27" s="677"/>
      <c r="K27" s="677"/>
      <c r="L27" s="677"/>
      <c r="M27" s="678"/>
      <c r="N27" s="678"/>
      <c r="O27" s="677"/>
      <c r="P27" s="678"/>
      <c r="Q27" s="677"/>
      <c r="S27" s="170"/>
    </row>
    <row r="28" spans="1:16" ht="12.75">
      <c r="A28" s="132" t="s">
        <v>171</v>
      </c>
      <c r="B28" s="441"/>
      <c r="C28" s="163"/>
      <c r="D28" s="141"/>
      <c r="E28" s="346"/>
      <c r="F28" s="267"/>
      <c r="G28" s="267"/>
      <c r="P28" s="678">
        <f>P18-P26</f>
        <v>262673293</v>
      </c>
    </row>
    <row r="29" spans="1:8" ht="12.75">
      <c r="A29" s="194"/>
      <c r="B29" s="441"/>
      <c r="C29" s="163"/>
      <c r="D29" s="141"/>
      <c r="E29" s="346"/>
      <c r="F29" s="267"/>
      <c r="G29" s="267"/>
      <c r="H29" s="144" t="s">
        <v>1587</v>
      </c>
    </row>
    <row r="30" spans="1:13" ht="12.75">
      <c r="A30" s="194" t="s">
        <v>953</v>
      </c>
      <c r="B30" s="441">
        <v>1</v>
      </c>
      <c r="C30" s="488">
        <f>'Grap Balance Sheet'!D17+'Grap Balance Sheet'!D21-'Grap Balance Sheet'!F17-'Grap Balance Sheet'!F21</f>
        <v>-7321303</v>
      </c>
      <c r="D30" s="141"/>
      <c r="E30" s="507">
        <f>-36488494</f>
        <v>-36488494</v>
      </c>
      <c r="F30" s="267"/>
      <c r="G30" s="267"/>
      <c r="H30" s="153" t="s">
        <v>1587</v>
      </c>
      <c r="I30" s="677" t="s">
        <v>860</v>
      </c>
      <c r="M30" s="678">
        <f>36889725-36562695</f>
        <v>327030</v>
      </c>
    </row>
    <row r="31" spans="1:10" ht="12.75">
      <c r="A31" s="194" t="s">
        <v>172</v>
      </c>
      <c r="B31" s="441">
        <v>3</v>
      </c>
      <c r="C31" s="488">
        <f>'Grap Balance Sheet'!D22-'Grap Balance Sheet'!F22</f>
        <v>1604368</v>
      </c>
      <c r="D31" s="141"/>
      <c r="E31" s="507">
        <v>2476822</v>
      </c>
      <c r="F31" s="267"/>
      <c r="G31" s="267"/>
      <c r="H31" s="144" t="s">
        <v>1587</v>
      </c>
      <c r="I31" s="677" t="s">
        <v>864</v>
      </c>
      <c r="J31" s="677" t="s">
        <v>433</v>
      </c>
    </row>
    <row r="32" spans="1:9" ht="12.75">
      <c r="A32" s="194"/>
      <c r="B32" s="441"/>
      <c r="C32" s="347"/>
      <c r="D32" s="141"/>
      <c r="E32" s="513"/>
      <c r="F32" s="267"/>
      <c r="G32" s="267"/>
      <c r="H32" s="144" t="s">
        <v>1587</v>
      </c>
      <c r="I32" s="677" t="s">
        <v>944</v>
      </c>
    </row>
    <row r="33" spans="1:7" ht="13.5" thickBot="1">
      <c r="A33" s="171"/>
      <c r="B33" s="149"/>
      <c r="C33" s="491">
        <f>SUM(C30:C32)</f>
        <v>-5716935</v>
      </c>
      <c r="D33" s="4"/>
      <c r="E33" s="510">
        <f>SUM(E30:E32)</f>
        <v>-34011672</v>
      </c>
      <c r="F33" s="267"/>
      <c r="G33" s="267"/>
    </row>
    <row r="34" spans="1:7" ht="13.5" thickTop="1">
      <c r="A34" s="194"/>
      <c r="B34" s="441"/>
      <c r="C34" s="347"/>
      <c r="D34" s="141"/>
      <c r="E34" s="513"/>
      <c r="F34" s="267"/>
      <c r="G34" s="267"/>
    </row>
    <row r="35" spans="1:8" ht="13.5" thickBot="1">
      <c r="A35" s="171" t="s">
        <v>840</v>
      </c>
      <c r="B35" s="149"/>
      <c r="C35" s="491">
        <f>C16+C26+C33</f>
        <v>-22157895</v>
      </c>
      <c r="D35" s="141"/>
      <c r="E35" s="512">
        <f>SUM(E33+E26+E16)</f>
        <v>12973332</v>
      </c>
      <c r="F35" s="269"/>
      <c r="G35" s="269"/>
      <c r="H35" s="197"/>
    </row>
    <row r="36" spans="1:7" ht="13.5" thickTop="1">
      <c r="A36" s="194"/>
      <c r="B36" s="441"/>
      <c r="C36" s="347"/>
      <c r="D36" s="141"/>
      <c r="E36" s="513"/>
      <c r="F36" s="267"/>
      <c r="G36" s="267"/>
    </row>
    <row r="37" spans="1:19" s="144" customFormat="1" ht="12.75">
      <c r="A37" s="194" t="s">
        <v>173</v>
      </c>
      <c r="B37" s="441">
        <v>26</v>
      </c>
      <c r="C37" s="494">
        <f>E38</f>
        <v>60081419</v>
      </c>
      <c r="D37" s="170"/>
      <c r="E37" s="514">
        <v>47108087</v>
      </c>
      <c r="F37" s="267"/>
      <c r="G37" s="485"/>
      <c r="I37" s="677"/>
      <c r="J37" s="677" t="s">
        <v>436</v>
      </c>
      <c r="K37" s="682">
        <f>'Notes (2)'!I522</f>
        <v>5998776</v>
      </c>
      <c r="L37" s="677"/>
      <c r="M37" s="683" t="s">
        <v>914</v>
      </c>
      <c r="N37" s="678"/>
      <c r="O37" s="677"/>
      <c r="P37" s="678"/>
      <c r="Q37" s="677"/>
      <c r="S37" s="170"/>
    </row>
    <row r="38" spans="1:19" s="144" customFormat="1" ht="12.75">
      <c r="A38" s="147" t="s">
        <v>174</v>
      </c>
      <c r="B38" s="149">
        <v>26</v>
      </c>
      <c r="C38" s="495">
        <f>'Notes (2)'!G946</f>
        <v>37901556</v>
      </c>
      <c r="D38" s="141"/>
      <c r="E38" s="515">
        <f>'Notes (2)'!I946</f>
        <v>60081419</v>
      </c>
      <c r="F38" s="269"/>
      <c r="G38" s="484"/>
      <c r="H38" s="184"/>
      <c r="I38" s="677" t="s">
        <v>915</v>
      </c>
      <c r="J38" s="677" t="s">
        <v>437</v>
      </c>
      <c r="K38" s="684">
        <f>-'Notes (2)'!G522</f>
        <v>-17017284</v>
      </c>
      <c r="L38" s="677" t="s">
        <v>528</v>
      </c>
      <c r="M38" s="683">
        <f>'Grap Balance Sheet'!D45+'Grap Balance Sheet'!D50</f>
        <v>37901556</v>
      </c>
      <c r="N38" s="678"/>
      <c r="O38" s="677"/>
      <c r="P38" s="678"/>
      <c r="Q38" s="677"/>
      <c r="S38" s="170"/>
    </row>
    <row r="39" spans="1:19" s="144" customFormat="1" ht="12.75">
      <c r="A39" s="147"/>
      <c r="B39" s="149"/>
      <c r="C39" s="496"/>
      <c r="D39" s="141"/>
      <c r="E39" s="516"/>
      <c r="F39" s="269"/>
      <c r="G39" s="269"/>
      <c r="H39" s="184"/>
      <c r="I39" s="677"/>
      <c r="J39" s="677"/>
      <c r="K39" s="684"/>
      <c r="L39" s="677"/>
      <c r="M39" s="683"/>
      <c r="N39" s="678"/>
      <c r="O39" s="677"/>
      <c r="P39" s="678"/>
      <c r="Q39" s="677"/>
      <c r="S39" s="170"/>
    </row>
    <row r="40" spans="1:19" s="144" customFormat="1" ht="13.5" thickBot="1">
      <c r="A40" s="147"/>
      <c r="B40" s="149"/>
      <c r="C40" s="497">
        <f>C38-C37</f>
        <v>-22179863</v>
      </c>
      <c r="D40" s="141"/>
      <c r="E40" s="517">
        <f>E38-E37</f>
        <v>12973332</v>
      </c>
      <c r="F40" s="269"/>
      <c r="G40" s="498"/>
      <c r="H40" s="197"/>
      <c r="I40" s="677"/>
      <c r="J40" s="677" t="s">
        <v>847</v>
      </c>
      <c r="K40" s="682">
        <f>SUM(K37:K38)</f>
        <v>-11018508</v>
      </c>
      <c r="L40" s="677"/>
      <c r="M40" s="685">
        <f>C35-C40</f>
        <v>21968</v>
      </c>
      <c r="N40" s="678"/>
      <c r="O40" s="677"/>
      <c r="P40" s="678"/>
      <c r="Q40" s="677"/>
      <c r="S40" s="170"/>
    </row>
    <row r="41" spans="1:19" s="144" customFormat="1" ht="14.25" thickBot="1" thickTop="1">
      <c r="A41" s="198"/>
      <c r="B41" s="518"/>
      <c r="C41" s="452"/>
      <c r="D41" s="199"/>
      <c r="E41" s="457"/>
      <c r="F41" s="170"/>
      <c r="G41" s="199"/>
      <c r="I41" s="677"/>
      <c r="J41" s="686">
        <f>C35-C40</f>
        <v>21968</v>
      </c>
      <c r="K41" s="677"/>
      <c r="L41" s="677"/>
      <c r="M41" s="678"/>
      <c r="N41" s="678"/>
      <c r="O41" s="677"/>
      <c r="P41" s="678"/>
      <c r="Q41" s="677"/>
      <c r="S41" s="170"/>
    </row>
    <row r="42" spans="3:19" s="144" customFormat="1" ht="12.75">
      <c r="C42" s="151"/>
      <c r="E42" s="151"/>
      <c r="F42" s="170"/>
      <c r="I42" s="677"/>
      <c r="J42" s="677"/>
      <c r="K42" s="677"/>
      <c r="L42" s="677"/>
      <c r="M42" s="678"/>
      <c r="N42" s="678"/>
      <c r="O42" s="680">
        <f>E35-E40</f>
        <v>0</v>
      </c>
      <c r="P42" s="678"/>
      <c r="Q42" s="677"/>
      <c r="S42" s="170"/>
    </row>
    <row r="43" spans="1:19" s="1228" customFormat="1" ht="12.75">
      <c r="A43" s="1228" t="s">
        <v>157</v>
      </c>
      <c r="C43" s="1231" t="s">
        <v>1587</v>
      </c>
      <c r="E43" s="1228" t="s">
        <v>1587</v>
      </c>
      <c r="F43" s="1232"/>
      <c r="H43" s="1231" t="s">
        <v>1587</v>
      </c>
      <c r="I43" s="1233"/>
      <c r="J43" s="1233"/>
      <c r="K43" s="1233"/>
      <c r="L43" s="1233"/>
      <c r="M43" s="1234"/>
      <c r="N43" s="1234"/>
      <c r="O43" s="1233"/>
      <c r="P43" s="1234"/>
      <c r="Q43" s="1233"/>
      <c r="S43" s="1232"/>
    </row>
    <row r="44" spans="3:19" s="144" customFormat="1" ht="12.75">
      <c r="C44" s="151" t="s">
        <v>1587</v>
      </c>
      <c r="D44" s="144" t="s">
        <v>1587</v>
      </c>
      <c r="E44" s="151" t="s">
        <v>1587</v>
      </c>
      <c r="F44" s="170"/>
      <c r="I44" s="677"/>
      <c r="J44" s="677"/>
      <c r="K44" s="677"/>
      <c r="L44" s="677"/>
      <c r="M44" s="678"/>
      <c r="N44" s="678"/>
      <c r="O44" s="680">
        <f>C40-C35</f>
        <v>-21968</v>
      </c>
      <c r="P44" s="678"/>
      <c r="Q44" s="677"/>
      <c r="S44" s="170"/>
    </row>
    <row r="45" spans="3:19" s="144" customFormat="1" ht="12.75">
      <c r="C45" s="151" t="s">
        <v>1587</v>
      </c>
      <c r="E45" s="151" t="s">
        <v>1587</v>
      </c>
      <c r="F45" s="170"/>
      <c r="I45" s="677"/>
      <c r="J45" s="677"/>
      <c r="K45" s="677"/>
      <c r="L45" s="677"/>
      <c r="M45" s="678"/>
      <c r="N45" s="678"/>
      <c r="O45" s="677"/>
      <c r="P45" s="678"/>
      <c r="Q45" s="677"/>
      <c r="S45" s="170"/>
    </row>
    <row r="46" spans="3:19" s="144" customFormat="1" ht="12.75">
      <c r="C46" s="151" t="s">
        <v>1587</v>
      </c>
      <c r="D46" s="144" t="s">
        <v>1587</v>
      </c>
      <c r="E46" s="151" t="s">
        <v>1587</v>
      </c>
      <c r="F46" s="170"/>
      <c r="I46" s="677"/>
      <c r="J46" s="677"/>
      <c r="K46" s="677"/>
      <c r="L46" s="677"/>
      <c r="M46" s="678"/>
      <c r="N46" s="678"/>
      <c r="O46" s="677"/>
      <c r="P46" s="678"/>
      <c r="Q46" s="677"/>
      <c r="S46" s="170"/>
    </row>
    <row r="47" spans="3:19" s="144" customFormat="1" ht="12.75">
      <c r="C47" s="144" t="s">
        <v>1587</v>
      </c>
      <c r="F47" s="170"/>
      <c r="I47" s="677"/>
      <c r="J47" s="677"/>
      <c r="K47" s="677"/>
      <c r="L47" s="677"/>
      <c r="M47" s="678"/>
      <c r="N47" s="678"/>
      <c r="O47" s="677"/>
      <c r="P47" s="678"/>
      <c r="Q47" s="677"/>
      <c r="S47" s="170"/>
    </row>
    <row r="48" spans="6:19" s="144" customFormat="1" ht="12.75">
      <c r="F48" s="170"/>
      <c r="I48" s="677"/>
      <c r="J48" s="677"/>
      <c r="K48" s="677"/>
      <c r="L48" s="677"/>
      <c r="M48" s="678"/>
      <c r="N48" s="678"/>
      <c r="O48" s="677"/>
      <c r="P48" s="678"/>
      <c r="Q48" s="677"/>
      <c r="S48" s="170"/>
    </row>
    <row r="49" spans="1:8" ht="12.75">
      <c r="A49" s="1260"/>
      <c r="B49" s="1260"/>
      <c r="C49" s="1260"/>
      <c r="D49" s="1260"/>
      <c r="E49" s="1260"/>
      <c r="F49" s="1260"/>
      <c r="G49" s="1260"/>
      <c r="H49" s="268"/>
    </row>
  </sheetData>
  <sheetProtection/>
  <mergeCells count="3">
    <mergeCell ref="A1:G1"/>
    <mergeCell ref="A2:G2"/>
    <mergeCell ref="A49:G49"/>
  </mergeCells>
  <printOptions verticalCentered="1"/>
  <pageMargins left="0.7480314960629921" right="0.7480314960629921" top="0.984251968503937" bottom="0.984251968503937" header="0.5118110236220472" footer="0.5118110236220472"/>
  <pageSetup horizontalDpi="600" verticalDpi="600" orientation="portrait" paperSize="9" scale="94" r:id="rId2"/>
  <headerFooter alignWithMargins="0">
    <oddHeader>&amp;C&amp;G</oddHeader>
    <oddFooter>&amp;C- 5 -</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K1152"/>
  <sheetViews>
    <sheetView view="pageBreakPreview" zoomScale="60" zoomScalePageLayoutView="0" workbookViewId="0" topLeftCell="A7">
      <selection activeCell="P31" sqref="P31:P32"/>
    </sheetView>
  </sheetViews>
  <sheetFormatPr defaultColWidth="9.140625" defaultRowHeight="12.75"/>
  <cols>
    <col min="1" max="1" width="51.140625" style="152" customWidth="1"/>
    <col min="2" max="2" width="17.140625" style="152" customWidth="1"/>
    <col min="3" max="3" width="19.00390625" style="152" customWidth="1"/>
    <col min="4" max="5" width="17.00390625" style="152" customWidth="1"/>
    <col min="6" max="6" width="17.140625" style="152" customWidth="1"/>
    <col min="7" max="7" width="21.8515625" style="152" customWidth="1"/>
    <col min="8" max="8" width="14.00390625" style="152" hidden="1" customWidth="1"/>
    <col min="9" max="9" width="52.140625" style="152" hidden="1" customWidth="1"/>
    <col min="10" max="10" width="11.421875" style="670" bestFit="1" customWidth="1"/>
    <col min="11" max="11" width="10.421875" style="152" bestFit="1" customWidth="1"/>
    <col min="12" max="16384" width="9.140625" style="152" customWidth="1"/>
  </cols>
  <sheetData>
    <row r="1" spans="1:7" ht="15.75">
      <c r="A1" s="1262"/>
      <c r="B1" s="1262"/>
      <c r="C1" s="1262"/>
      <c r="D1" s="1262"/>
      <c r="E1" s="1262"/>
      <c r="F1" s="1262"/>
      <c r="G1" s="1262"/>
    </row>
    <row r="2" spans="1:10" s="126" customFormat="1" ht="15.75">
      <c r="A2" s="1262"/>
      <c r="B2" s="1262"/>
      <c r="C2" s="1262"/>
      <c r="D2" s="1262"/>
      <c r="E2" s="1262"/>
      <c r="F2" s="1262"/>
      <c r="G2" s="1262"/>
      <c r="J2" s="671"/>
    </row>
    <row r="3" spans="1:7" ht="12.75">
      <c r="A3" s="276"/>
      <c r="B3" s="126"/>
      <c r="C3" s="126"/>
      <c r="D3" s="126"/>
      <c r="E3" s="224"/>
      <c r="F3" s="224"/>
      <c r="G3" s="224"/>
    </row>
    <row r="5" ht="12.75">
      <c r="A5" s="278" t="s">
        <v>179</v>
      </c>
    </row>
    <row r="6" ht="12.75">
      <c r="A6" s="278"/>
    </row>
    <row r="7" ht="12.75">
      <c r="A7" s="278" t="s">
        <v>62</v>
      </c>
    </row>
    <row r="8" ht="13.5" thickBot="1">
      <c r="A8" s="278"/>
    </row>
    <row r="9" spans="1:10" s="279" customFormat="1" ht="12.75">
      <c r="A9" s="662" t="s">
        <v>580</v>
      </c>
      <c r="B9" s="524" t="s">
        <v>180</v>
      </c>
      <c r="C9" s="525" t="s">
        <v>181</v>
      </c>
      <c r="D9" s="526" t="s">
        <v>1545</v>
      </c>
      <c r="E9" s="526" t="s">
        <v>1546</v>
      </c>
      <c r="F9" s="526" t="s">
        <v>1133</v>
      </c>
      <c r="G9" s="527" t="s">
        <v>1178</v>
      </c>
      <c r="J9" s="672"/>
    </row>
    <row r="10" spans="1:7" ht="12.75">
      <c r="A10" s="280" t="s">
        <v>933</v>
      </c>
      <c r="B10" s="528" t="s">
        <v>932</v>
      </c>
      <c r="C10" s="529" t="s">
        <v>182</v>
      </c>
      <c r="D10" s="326"/>
      <c r="E10" s="326"/>
      <c r="F10" s="326"/>
      <c r="G10" s="281"/>
    </row>
    <row r="11" spans="1:10" s="126" customFormat="1" ht="13.5" thickBot="1">
      <c r="A11" s="282"/>
      <c r="B11" s="283" t="s">
        <v>1186</v>
      </c>
      <c r="C11" s="284" t="s">
        <v>1186</v>
      </c>
      <c r="D11" s="285" t="s">
        <v>1186</v>
      </c>
      <c r="E11" s="285" t="s">
        <v>1186</v>
      </c>
      <c r="F11" s="285" t="s">
        <v>1186</v>
      </c>
      <c r="G11" s="284" t="s">
        <v>1186</v>
      </c>
      <c r="J11" s="671"/>
    </row>
    <row r="12" spans="1:7" ht="12.75">
      <c r="A12" s="286" t="s">
        <v>373</v>
      </c>
      <c r="B12" s="287"/>
      <c r="C12" s="287"/>
      <c r="D12" s="288"/>
      <c r="E12" s="288"/>
      <c r="F12" s="288"/>
      <c r="G12" s="289"/>
    </row>
    <row r="13" spans="1:10" s="126" customFormat="1" ht="13.5" thickBot="1">
      <c r="A13" s="286" t="s">
        <v>581</v>
      </c>
      <c r="B13" s="290">
        <f>B14</f>
        <v>41643608</v>
      </c>
      <c r="C13" s="290">
        <f>SUM(C14:C15)</f>
        <v>103087668</v>
      </c>
      <c r="D13" s="290">
        <f>SUM(D14:D15)</f>
        <v>182444288</v>
      </c>
      <c r="E13" s="290">
        <f>SUM(E14:E15)</f>
        <v>13098</v>
      </c>
      <c r="F13" s="290">
        <f>SUM(F14:F15)</f>
        <v>28250599</v>
      </c>
      <c r="G13" s="290">
        <f>SUM(B13:F13)</f>
        <v>355439261</v>
      </c>
      <c r="J13" s="671"/>
    </row>
    <row r="14" spans="1:7" ht="12.75">
      <c r="A14" s="519" t="s">
        <v>183</v>
      </c>
      <c r="B14" s="291">
        <f>B49+B50</f>
        <v>41643608</v>
      </c>
      <c r="C14" s="291">
        <f>C49+C50</f>
        <v>964618801</v>
      </c>
      <c r="D14" s="291">
        <f>D49+D50</f>
        <v>196218600</v>
      </c>
      <c r="E14" s="291">
        <f>E49+E50</f>
        <v>13098</v>
      </c>
      <c r="F14" s="291">
        <f>F49+F50</f>
        <v>102676837</v>
      </c>
      <c r="G14" s="291">
        <f>SUM(B14:F14)</f>
        <v>1305170944</v>
      </c>
    </row>
    <row r="15" spans="1:7" ht="13.5" thickBot="1">
      <c r="A15" s="519" t="s">
        <v>184</v>
      </c>
      <c r="B15" s="293">
        <f>B51+B52</f>
        <v>0</v>
      </c>
      <c r="C15" s="293">
        <f>C51+C52</f>
        <v>-861531133</v>
      </c>
      <c r="D15" s="293">
        <f>D51+D52</f>
        <v>-13774312</v>
      </c>
      <c r="E15" s="293">
        <f>E51+E52</f>
        <v>0</v>
      </c>
      <c r="F15" s="293">
        <f>F51+F52</f>
        <v>-74426238</v>
      </c>
      <c r="G15" s="293">
        <f>SUM(B15:F15)</f>
        <v>-949731683</v>
      </c>
    </row>
    <row r="16" spans="1:7" ht="12.75">
      <c r="A16" s="172"/>
      <c r="B16" s="291"/>
      <c r="C16" s="291"/>
      <c r="D16" s="291"/>
      <c r="E16" s="291"/>
      <c r="F16" s="291"/>
      <c r="G16" s="291"/>
    </row>
    <row r="17" spans="1:10" s="144" customFormat="1" ht="12.75">
      <c r="A17" s="172" t="s">
        <v>185</v>
      </c>
      <c r="B17" s="292">
        <f>'GRAP APP B'!D15</f>
        <v>7050000</v>
      </c>
      <c r="C17" s="292">
        <f>'GRAP APP B'!D32</f>
        <v>80415912</v>
      </c>
      <c r="D17" s="292">
        <f>'GRAP APP B'!D45</f>
        <v>9502449</v>
      </c>
      <c r="E17" s="292">
        <f>'GRAP APP B'!D52</f>
        <v>0</v>
      </c>
      <c r="F17" s="292">
        <f>'GRAP APP B'!D68</f>
        <v>4186029</v>
      </c>
      <c r="G17" s="292">
        <f aca="true" t="shared" si="0" ref="G17:G23">SUM(B17:F17)</f>
        <v>101154390</v>
      </c>
      <c r="J17" s="275"/>
    </row>
    <row r="18" spans="1:10" s="144" customFormat="1" ht="12.75">
      <c r="A18" s="172" t="s">
        <v>1666</v>
      </c>
      <c r="B18" s="292">
        <f>'GRAP APP B'!K15</f>
        <v>0</v>
      </c>
      <c r="C18" s="292">
        <f>-'GRAP APP B'!K32</f>
        <v>-5733829</v>
      </c>
      <c r="D18" s="292">
        <f>-'GRAP APP B'!K45</f>
        <v>-29375</v>
      </c>
      <c r="E18" s="292">
        <f>'GRAP APP B'!K52</f>
        <v>0</v>
      </c>
      <c r="F18" s="292">
        <f>-'GRAP APP B'!K68</f>
        <v>-3464735</v>
      </c>
      <c r="G18" s="292">
        <f t="shared" si="0"/>
        <v>-9227939</v>
      </c>
      <c r="J18" s="275"/>
    </row>
    <row r="19" spans="1:10" s="144" customFormat="1" ht="12.75">
      <c r="A19" s="172" t="s">
        <v>164</v>
      </c>
      <c r="B19" s="292">
        <f>'GRAP APP B'!G15</f>
        <v>320768616</v>
      </c>
      <c r="C19" s="292">
        <f>'GRAP APP B'!F32+'GRAP APP B'!G32</f>
        <v>6175451128</v>
      </c>
      <c r="D19" s="292">
        <f>'GRAP APP B'!G45</f>
        <v>392210048</v>
      </c>
      <c r="E19" s="292">
        <f>'GRAP APP B'!F52</f>
        <v>-3498</v>
      </c>
      <c r="F19" s="292">
        <f>'GRAP APP B'!F68</f>
        <v>693293</v>
      </c>
      <c r="G19" s="292">
        <f t="shared" si="0"/>
        <v>6889119587</v>
      </c>
      <c r="J19" s="275"/>
    </row>
    <row r="20" spans="1:10" s="144" customFormat="1" ht="12.75">
      <c r="A20" s="172" t="s">
        <v>165</v>
      </c>
      <c r="B20" s="292">
        <f>-'GRAP APP B'!O15</f>
        <v>-222541674</v>
      </c>
      <c r="C20" s="292">
        <f>-'GRAP APP B'!O32</f>
        <v>-1559184098</v>
      </c>
      <c r="D20" s="292">
        <f>-'GRAP APP B'!O45</f>
        <v>-314842855</v>
      </c>
      <c r="E20" s="292">
        <f>'GRAP APP B'!L52</f>
        <v>0</v>
      </c>
      <c r="F20" s="292">
        <f>-'GRAP APP B'!L68</f>
        <v>16857234</v>
      </c>
      <c r="G20" s="292">
        <f t="shared" si="0"/>
        <v>-2079711393</v>
      </c>
      <c r="J20" s="275"/>
    </row>
    <row r="21" spans="1:10" s="144" customFormat="1" ht="13.5" thickBot="1">
      <c r="A21" s="172" t="s">
        <v>186</v>
      </c>
      <c r="B21" s="293">
        <v>0</v>
      </c>
      <c r="C21" s="293">
        <v>0</v>
      </c>
      <c r="D21" s="293">
        <v>0</v>
      </c>
      <c r="E21" s="293">
        <f>-'GRAP APP B'!C52</f>
        <v>0</v>
      </c>
      <c r="F21" s="293">
        <f>-'GRAP APP B'!H70+'GRAP APP B'!P68</f>
        <v>-362547</v>
      </c>
      <c r="G21" s="293">
        <f>SUM(B21:F21)</f>
        <v>-362547</v>
      </c>
      <c r="H21" s="144" t="s">
        <v>1587</v>
      </c>
      <c r="I21" s="144" t="s">
        <v>28</v>
      </c>
      <c r="J21" s="275"/>
    </row>
    <row r="22" spans="1:10" s="144" customFormat="1" ht="12.75">
      <c r="A22" s="977" t="s">
        <v>183</v>
      </c>
      <c r="B22" s="291">
        <v>0</v>
      </c>
      <c r="C22" s="291">
        <v>0</v>
      </c>
      <c r="D22" s="291">
        <v>0</v>
      </c>
      <c r="E22" s="291">
        <v>0</v>
      </c>
      <c r="F22" s="291">
        <f>-'GRAP APP B'!H68</f>
        <v>-3937804</v>
      </c>
      <c r="G22" s="291">
        <f>SUM(B22:F22)</f>
        <v>-3937804</v>
      </c>
      <c r="H22" s="292">
        <v>6194938490</v>
      </c>
      <c r="I22" s="144" t="s">
        <v>29</v>
      </c>
      <c r="J22" s="275"/>
    </row>
    <row r="23" spans="1:8" ht="13.5" thickBot="1">
      <c r="A23" s="977" t="s">
        <v>184</v>
      </c>
      <c r="B23" s="978">
        <f>B18+B20</f>
        <v>-222541674</v>
      </c>
      <c r="C23" s="978">
        <v>0</v>
      </c>
      <c r="D23" s="978">
        <v>0</v>
      </c>
      <c r="E23" s="978">
        <v>0</v>
      </c>
      <c r="F23" s="978">
        <f>'GRAP APP B'!P70</f>
        <v>3575257</v>
      </c>
      <c r="G23" s="293">
        <f t="shared" si="0"/>
        <v>-218966417</v>
      </c>
      <c r="H23" s="675">
        <f>G27-H22</f>
        <v>2096568627</v>
      </c>
    </row>
    <row r="24" spans="1:7" ht="12.75">
      <c r="A24" s="977"/>
      <c r="B24" s="1024"/>
      <c r="C24" s="1024"/>
      <c r="D24" s="1024"/>
      <c r="E24" s="1024"/>
      <c r="F24" s="1024"/>
      <c r="G24" s="292"/>
    </row>
    <row r="25" spans="1:10" s="126" customFormat="1" ht="12.75">
      <c r="A25" s="132" t="s">
        <v>373</v>
      </c>
      <c r="B25" s="295"/>
      <c r="C25" s="295"/>
      <c r="D25" s="295"/>
      <c r="E25" s="295"/>
      <c r="F25" s="295"/>
      <c r="G25" s="295"/>
      <c r="H25" s="675" t="s">
        <v>1587</v>
      </c>
      <c r="J25" s="671"/>
    </row>
    <row r="26" spans="1:11" ht="13.5" thickBot="1">
      <c r="A26" s="171" t="s">
        <v>582</v>
      </c>
      <c r="B26" s="296">
        <f aca="true" t="shared" si="1" ref="B26:G26">B27+B28</f>
        <v>146920550</v>
      </c>
      <c r="C26" s="296">
        <f t="shared" si="1"/>
        <v>4794036781</v>
      </c>
      <c r="D26" s="296">
        <f t="shared" si="1"/>
        <v>269284555</v>
      </c>
      <c r="E26" s="296">
        <f t="shared" si="1"/>
        <v>9600</v>
      </c>
      <c r="F26" s="296">
        <f t="shared" si="1"/>
        <v>46159873</v>
      </c>
      <c r="G26" s="296">
        <f t="shared" si="1"/>
        <v>5256411359</v>
      </c>
      <c r="H26" s="675" t="s">
        <v>1587</v>
      </c>
      <c r="K26" s="675">
        <f>G26-5256411359</f>
        <v>0</v>
      </c>
    </row>
    <row r="27" spans="1:9" ht="12.75">
      <c r="A27" s="266" t="s">
        <v>183</v>
      </c>
      <c r="B27" s="291">
        <f>B14+B17+B19</f>
        <v>369462224</v>
      </c>
      <c r="C27" s="291">
        <f>C14+C17+C19</f>
        <v>7220485841</v>
      </c>
      <c r="D27" s="291">
        <f>D14+D17+D19</f>
        <v>597931097</v>
      </c>
      <c r="E27" s="291">
        <f>E14+E17+E19</f>
        <v>9600</v>
      </c>
      <c r="F27" s="291">
        <f>F17+F19+F22+F14</f>
        <v>103618355</v>
      </c>
      <c r="G27" s="291">
        <f>SUM(B27:F27)</f>
        <v>8291507117</v>
      </c>
      <c r="H27" s="292">
        <v>4186029</v>
      </c>
      <c r="I27" s="675">
        <f>D27-205095664</f>
        <v>392835433</v>
      </c>
    </row>
    <row r="28" spans="1:10" s="144" customFormat="1" ht="13.5" thickBot="1">
      <c r="A28" s="520" t="s">
        <v>184</v>
      </c>
      <c r="B28" s="293">
        <f>B15+B23</f>
        <v>-222541674</v>
      </c>
      <c r="C28" s="293">
        <f>C15+C18+C20</f>
        <v>-2426449060</v>
      </c>
      <c r="D28" s="293">
        <f>D15+D18+D20</f>
        <v>-328646542</v>
      </c>
      <c r="E28" s="293">
        <f>E15+E18</f>
        <v>0</v>
      </c>
      <c r="F28" s="293">
        <f>F15+F18+F20+F23</f>
        <v>-57458482</v>
      </c>
      <c r="G28" s="293">
        <f>SUM(B28:F28)</f>
        <v>-3035095758</v>
      </c>
      <c r="H28" s="153">
        <v>693293</v>
      </c>
      <c r="J28" s="275"/>
    </row>
    <row r="29" spans="1:8" ht="12.75">
      <c r="A29" s="184"/>
      <c r="B29" s="153"/>
      <c r="C29" s="153"/>
      <c r="D29" s="153"/>
      <c r="E29" s="153"/>
      <c r="F29" s="153"/>
      <c r="G29" s="153"/>
      <c r="H29" s="675">
        <v>-3937804</v>
      </c>
    </row>
    <row r="30" spans="1:8" ht="13.5" thickBot="1">
      <c r="A30" s="184"/>
      <c r="B30" s="153"/>
      <c r="C30" s="153"/>
      <c r="D30" s="153"/>
      <c r="E30" s="153"/>
      <c r="F30" s="153"/>
      <c r="G30" s="153"/>
      <c r="H30" s="675">
        <f>SUM(H27:H29)</f>
        <v>941518</v>
      </c>
    </row>
    <row r="31" spans="1:10" s="279" customFormat="1" ht="12.75">
      <c r="A31" s="521" t="s">
        <v>440</v>
      </c>
      <c r="B31" s="530" t="s">
        <v>180</v>
      </c>
      <c r="C31" s="531" t="s">
        <v>181</v>
      </c>
      <c r="D31" s="532" t="s">
        <v>1545</v>
      </c>
      <c r="E31" s="532" t="s">
        <v>1546</v>
      </c>
      <c r="F31" s="532" t="s">
        <v>1133</v>
      </c>
      <c r="G31" s="533" t="s">
        <v>1178</v>
      </c>
      <c r="H31" s="152" t="s">
        <v>1587</v>
      </c>
      <c r="J31" s="672"/>
    </row>
    <row r="32" spans="1:8" ht="12.75">
      <c r="A32" s="297" t="s">
        <v>933</v>
      </c>
      <c r="B32" s="534" t="s">
        <v>932</v>
      </c>
      <c r="C32" s="289" t="s">
        <v>182</v>
      </c>
      <c r="D32" s="341"/>
      <c r="E32" s="341"/>
      <c r="F32" s="341"/>
      <c r="G32" s="298"/>
      <c r="H32" s="675" t="s">
        <v>1587</v>
      </c>
    </row>
    <row r="33" spans="1:10" s="126" customFormat="1" ht="13.5" thickBot="1">
      <c r="A33" s="522"/>
      <c r="B33" s="299" t="s">
        <v>1186</v>
      </c>
      <c r="C33" s="300" t="s">
        <v>1186</v>
      </c>
      <c r="D33" s="301" t="s">
        <v>1186</v>
      </c>
      <c r="E33" s="301" t="s">
        <v>1186</v>
      </c>
      <c r="F33" s="301" t="s">
        <v>1186</v>
      </c>
      <c r="G33" s="300" t="s">
        <v>1186</v>
      </c>
      <c r="J33" s="671"/>
    </row>
    <row r="34" spans="1:7" ht="12.75">
      <c r="A34" s="286" t="s">
        <v>373</v>
      </c>
      <c r="B34" s="287"/>
      <c r="C34" s="287"/>
      <c r="D34" s="288"/>
      <c r="E34" s="288"/>
      <c r="F34" s="288"/>
      <c r="G34" s="289"/>
    </row>
    <row r="35" spans="1:10" s="126" customFormat="1" ht="13.5" thickBot="1">
      <c r="A35" s="286" t="s">
        <v>438</v>
      </c>
      <c r="B35" s="290">
        <f aca="true" t="shared" si="2" ref="B35:G35">SUM(B36:B37)</f>
        <v>40068010</v>
      </c>
      <c r="C35" s="290">
        <f t="shared" si="2"/>
        <v>69443274</v>
      </c>
      <c r="D35" s="290">
        <f t="shared" si="2"/>
        <v>170826059</v>
      </c>
      <c r="E35" s="290">
        <f t="shared" si="2"/>
        <v>47250</v>
      </c>
      <c r="F35" s="290">
        <f t="shared" si="2"/>
        <v>25945064</v>
      </c>
      <c r="G35" s="290">
        <f t="shared" si="2"/>
        <v>306329657</v>
      </c>
      <c r="I35" s="152" t="s">
        <v>584</v>
      </c>
      <c r="J35" s="671"/>
    </row>
    <row r="36" spans="1:9" ht="12.75">
      <c r="A36" s="523" t="s">
        <v>183</v>
      </c>
      <c r="B36" s="291">
        <v>40068010</v>
      </c>
      <c r="C36" s="291">
        <v>928810174</v>
      </c>
      <c r="D36" s="291">
        <v>184567892</v>
      </c>
      <c r="E36" s="291">
        <v>47250</v>
      </c>
      <c r="F36" s="291">
        <v>102441738</v>
      </c>
      <c r="G36" s="291">
        <f>SUM(B36:F36)</f>
        <v>1255935064</v>
      </c>
      <c r="I36" s="152" t="s">
        <v>585</v>
      </c>
    </row>
    <row r="37" spans="1:9" ht="13.5" thickBot="1">
      <c r="A37" s="523" t="s">
        <v>184</v>
      </c>
      <c r="B37" s="292">
        <v>0</v>
      </c>
      <c r="C37" s="293">
        <v>-859366900</v>
      </c>
      <c r="D37" s="293">
        <v>-13741833</v>
      </c>
      <c r="E37" s="293">
        <v>0</v>
      </c>
      <c r="F37" s="293">
        <v>-76496674</v>
      </c>
      <c r="G37" s="292">
        <f>SUM(C37:F37)</f>
        <v>-949605407</v>
      </c>
      <c r="I37" s="152" t="s">
        <v>586</v>
      </c>
    </row>
    <row r="38" spans="1:7" ht="12.75">
      <c r="A38" s="172"/>
      <c r="B38" s="291"/>
      <c r="C38" s="291"/>
      <c r="D38" s="291"/>
      <c r="E38" s="291"/>
      <c r="F38" s="291"/>
      <c r="G38" s="291"/>
    </row>
    <row r="39" spans="1:7" ht="12.75">
      <c r="A39" s="535" t="s">
        <v>121</v>
      </c>
      <c r="B39" s="292"/>
      <c r="C39" s="292"/>
      <c r="D39" s="292"/>
      <c r="E39" s="292"/>
      <c r="F39" s="292">
        <v>-309045</v>
      </c>
      <c r="G39" s="292">
        <f aca="true" t="shared" si="3" ref="G39:G44">SUM(B39:F39)</f>
        <v>-309045</v>
      </c>
    </row>
    <row r="40" spans="1:9" ht="12.75">
      <c r="A40" s="172" t="s">
        <v>185</v>
      </c>
      <c r="B40" s="292">
        <v>1575598</v>
      </c>
      <c r="C40" s="292">
        <v>35808627</v>
      </c>
      <c r="D40" s="292">
        <v>11650708</v>
      </c>
      <c r="E40" s="292">
        <v>0</v>
      </c>
      <c r="F40" s="292">
        <v>4842916</v>
      </c>
      <c r="G40" s="292">
        <f t="shared" si="3"/>
        <v>53877849</v>
      </c>
      <c r="I40" s="152" t="s">
        <v>588</v>
      </c>
    </row>
    <row r="41" spans="1:9" ht="12.75">
      <c r="A41" s="172" t="s">
        <v>1666</v>
      </c>
      <c r="B41" s="292">
        <v>0</v>
      </c>
      <c r="C41" s="292">
        <v>-2164233</v>
      </c>
      <c r="D41" s="292">
        <v>-32479</v>
      </c>
      <c r="E41" s="292">
        <v>0</v>
      </c>
      <c r="F41" s="292">
        <v>-3052243</v>
      </c>
      <c r="G41" s="292">
        <f t="shared" si="3"/>
        <v>-5248955</v>
      </c>
      <c r="I41" s="152" t="s">
        <v>587</v>
      </c>
    </row>
    <row r="42" spans="1:9" ht="13.5" thickBot="1">
      <c r="A42" s="172" t="s">
        <v>186</v>
      </c>
      <c r="B42" s="293">
        <v>0</v>
      </c>
      <c r="C42" s="293">
        <v>0</v>
      </c>
      <c r="D42" s="293">
        <v>0</v>
      </c>
      <c r="E42" s="293">
        <v>-34152</v>
      </c>
      <c r="F42" s="293">
        <v>-159859</v>
      </c>
      <c r="G42" s="293">
        <f t="shared" si="3"/>
        <v>-194011</v>
      </c>
      <c r="I42" s="152" t="s">
        <v>589</v>
      </c>
    </row>
    <row r="43" spans="1:7" ht="12.75">
      <c r="A43" s="535" t="s">
        <v>183</v>
      </c>
      <c r="B43" s="291" t="s">
        <v>1587</v>
      </c>
      <c r="C43" s="291" t="s">
        <v>1587</v>
      </c>
      <c r="D43" s="291" t="s">
        <v>1587</v>
      </c>
      <c r="E43" s="291">
        <v>-34152</v>
      </c>
      <c r="F43" s="291">
        <v>-5864827</v>
      </c>
      <c r="G43" s="292">
        <f t="shared" si="3"/>
        <v>-5898979</v>
      </c>
    </row>
    <row r="44" spans="1:7" ht="13.5" thickBot="1">
      <c r="A44" s="535" t="s">
        <v>184</v>
      </c>
      <c r="B44" s="293">
        <v>0</v>
      </c>
      <c r="C44" s="293">
        <v>0</v>
      </c>
      <c r="D44" s="293">
        <v>0</v>
      </c>
      <c r="E44" s="293">
        <v>0</v>
      </c>
      <c r="F44" s="293">
        <v>5704968</v>
      </c>
      <c r="G44" s="293">
        <f t="shared" si="3"/>
        <v>5704968</v>
      </c>
    </row>
    <row r="45" spans="1:7" ht="12.75">
      <c r="A45" s="535" t="s">
        <v>1587</v>
      </c>
      <c r="B45" s="292"/>
      <c r="C45" s="292"/>
      <c r="D45" s="292"/>
      <c r="E45" s="292"/>
      <c r="F45" s="292"/>
      <c r="G45" s="292"/>
    </row>
    <row r="46" spans="1:7" ht="12.75">
      <c r="A46" s="172"/>
      <c r="B46" s="292"/>
      <c r="C46" s="292"/>
      <c r="D46" s="292"/>
      <c r="E46" s="292"/>
      <c r="F46" s="292"/>
      <c r="G46" s="292"/>
    </row>
    <row r="47" spans="1:10" s="126" customFormat="1" ht="12.75">
      <c r="A47" s="294" t="s">
        <v>373</v>
      </c>
      <c r="B47" s="295"/>
      <c r="C47" s="295"/>
      <c r="D47" s="295"/>
      <c r="E47" s="295"/>
      <c r="F47" s="295"/>
      <c r="G47" s="295"/>
      <c r="J47" s="671"/>
    </row>
    <row r="48" spans="1:7" ht="13.5" thickBot="1">
      <c r="A48" s="663" t="s">
        <v>439</v>
      </c>
      <c r="B48" s="296">
        <f aca="true" t="shared" si="4" ref="B48:G48">SUM(B49:B52)</f>
        <v>41643608</v>
      </c>
      <c r="C48" s="296">
        <f t="shared" si="4"/>
        <v>103087668</v>
      </c>
      <c r="D48" s="296">
        <f t="shared" si="4"/>
        <v>182444288</v>
      </c>
      <c r="E48" s="296">
        <f t="shared" si="4"/>
        <v>13098</v>
      </c>
      <c r="F48" s="296">
        <f t="shared" si="4"/>
        <v>28250599</v>
      </c>
      <c r="G48" s="296">
        <f t="shared" si="4"/>
        <v>355439261</v>
      </c>
    </row>
    <row r="49" spans="1:7" ht="12.75">
      <c r="A49" s="172" t="s">
        <v>183</v>
      </c>
      <c r="B49" s="291">
        <f>B36+B40</f>
        <v>41643608</v>
      </c>
      <c r="C49" s="291">
        <f>C36+C40</f>
        <v>964618801</v>
      </c>
      <c r="D49" s="291">
        <f>D36+D40</f>
        <v>196218600</v>
      </c>
      <c r="E49" s="291">
        <f>E36+E40+E42</f>
        <v>13098</v>
      </c>
      <c r="F49" s="291">
        <f>F36+F40+F43</f>
        <v>101419827</v>
      </c>
      <c r="G49" s="291">
        <f>SUM(B49:F49)</f>
        <v>1303913934</v>
      </c>
    </row>
    <row r="50" spans="1:7" ht="12.75">
      <c r="A50" s="172" t="s">
        <v>3</v>
      </c>
      <c r="B50" s="292">
        <v>0</v>
      </c>
      <c r="C50" s="292">
        <v>0</v>
      </c>
      <c r="D50" s="292">
        <v>0</v>
      </c>
      <c r="E50" s="292">
        <v>0</v>
      </c>
      <c r="F50" s="292">
        <f>SUM('Notes (2)'!I1191+'Notes (2)'!I1192+'Notes (2)'!I1193)</f>
        <v>1257010</v>
      </c>
      <c r="G50" s="292">
        <f>F50</f>
        <v>1257010</v>
      </c>
    </row>
    <row r="51" spans="1:7" ht="12.75">
      <c r="A51" s="172" t="s">
        <v>4</v>
      </c>
      <c r="B51" s="292">
        <v>0</v>
      </c>
      <c r="C51" s="292">
        <v>0</v>
      </c>
      <c r="D51" s="292">
        <v>0</v>
      </c>
      <c r="E51" s="292">
        <v>0</v>
      </c>
      <c r="F51" s="292">
        <f>-'Notes (2)'!I1204</f>
        <v>-273244</v>
      </c>
      <c r="G51" s="292">
        <f>F51</f>
        <v>-273244</v>
      </c>
    </row>
    <row r="52" spans="1:10" s="144" customFormat="1" ht="13.5" thickBot="1">
      <c r="A52" s="266" t="s">
        <v>184</v>
      </c>
      <c r="B52" s="293">
        <v>0</v>
      </c>
      <c r="C52" s="293">
        <f>-859366900+C41</f>
        <v>-861531133</v>
      </c>
      <c r="D52" s="293">
        <f>-13741833+D41</f>
        <v>-13774312</v>
      </c>
      <c r="E52" s="293">
        <v>0</v>
      </c>
      <c r="F52" s="293">
        <f>-73843949+F39</f>
        <v>-74152994</v>
      </c>
      <c r="G52" s="293">
        <f>SUM(B52:F52)</f>
        <v>-949458439</v>
      </c>
      <c r="I52" s="152" t="s">
        <v>590</v>
      </c>
      <c r="J52" s="275"/>
    </row>
    <row r="53" spans="1:10" s="144" customFormat="1" ht="13.5" thickBot="1">
      <c r="A53" s="171" t="s">
        <v>934</v>
      </c>
      <c r="B53" s="302">
        <f aca="true" t="shared" si="5" ref="B53:G53">SUM(B49:B52)</f>
        <v>41643608</v>
      </c>
      <c r="C53" s="302">
        <f t="shared" si="5"/>
        <v>103087668</v>
      </c>
      <c r="D53" s="302">
        <f t="shared" si="5"/>
        <v>182444288</v>
      </c>
      <c r="E53" s="302">
        <f t="shared" si="5"/>
        <v>13098</v>
      </c>
      <c r="F53" s="302">
        <f t="shared" si="5"/>
        <v>28250599</v>
      </c>
      <c r="G53" s="302">
        <f t="shared" si="5"/>
        <v>355439261</v>
      </c>
      <c r="I53" s="144" t="s">
        <v>819</v>
      </c>
      <c r="J53" s="275"/>
    </row>
    <row r="54" spans="1:7" ht="13.5" thickBot="1">
      <c r="A54" s="198"/>
      <c r="B54" s="303"/>
      <c r="C54" s="304"/>
      <c r="D54" s="304"/>
      <c r="E54" s="304"/>
      <c r="F54" s="304"/>
      <c r="G54" s="305"/>
    </row>
    <row r="55" spans="1:7" ht="12.75">
      <c r="A55" s="144"/>
      <c r="B55" s="148"/>
      <c r="C55" s="148"/>
      <c r="D55" s="148"/>
      <c r="E55" s="148"/>
      <c r="F55" s="148"/>
      <c r="G55" s="148"/>
    </row>
    <row r="56" spans="1:9" ht="11.25" customHeight="1">
      <c r="A56" s="1263" t="s">
        <v>1066</v>
      </c>
      <c r="B56" s="1263"/>
      <c r="C56" s="1263"/>
      <c r="D56" s="1263"/>
      <c r="E56" s="1263"/>
      <c r="F56" s="1263"/>
      <c r="G56" s="1263"/>
      <c r="I56" s="975">
        <f>G49+G50</f>
        <v>1305170944</v>
      </c>
    </row>
    <row r="57" spans="9:10" ht="12.75">
      <c r="I57" s="975">
        <f>'Notes (2)'!I286+'Notes (2)'!I287</f>
        <v>3169307</v>
      </c>
      <c r="J57" s="670" t="s">
        <v>5</v>
      </c>
    </row>
    <row r="58" spans="1:10" s="144" customFormat="1" ht="12.75">
      <c r="A58" s="1261" t="s">
        <v>841</v>
      </c>
      <c r="B58" s="1261"/>
      <c r="C58" s="1261"/>
      <c r="D58" s="1261"/>
      <c r="E58" s="1261"/>
      <c r="F58" s="1261"/>
      <c r="G58" s="1261"/>
      <c r="I58" s="153">
        <f>'Notes (2)'!I288</f>
        <v>-1116247</v>
      </c>
      <c r="J58" s="275" t="s">
        <v>6</v>
      </c>
    </row>
    <row r="59" spans="1:10" s="306" customFormat="1" ht="12.75">
      <c r="A59" s="306" t="s">
        <v>1587</v>
      </c>
      <c r="I59" s="306" t="s">
        <v>1587</v>
      </c>
      <c r="J59" s="673"/>
    </row>
    <row r="60" spans="1:11" s="821" customFormat="1" ht="12.75" customHeight="1">
      <c r="A60" s="1271" t="s">
        <v>146</v>
      </c>
      <c r="B60" s="1271"/>
      <c r="C60" s="1271"/>
      <c r="D60" s="1271"/>
      <c r="E60" s="1271"/>
      <c r="F60" s="1271"/>
      <c r="G60" s="1271"/>
      <c r="H60" s="1271"/>
      <c r="J60" s="822"/>
      <c r="K60" s="823"/>
    </row>
    <row r="61" ht="12.75">
      <c r="I61" s="152">
        <v>1305388734.46</v>
      </c>
    </row>
    <row r="62" ht="12.75">
      <c r="I62" s="675">
        <f>-G49</f>
        <v>-1303913934</v>
      </c>
    </row>
    <row r="63" ht="12.75">
      <c r="I63" s="152">
        <f>SUM(I61:I62)</f>
        <v>1474800.46000004</v>
      </c>
    </row>
    <row r="64" ht="12.75">
      <c r="I64" s="976" t="e">
        <f>I63-#REF!</f>
        <v>#REF!</v>
      </c>
    </row>
    <row r="65" ht="12.75">
      <c r="I65" s="675">
        <f>-'Notes (2)'!I287</f>
        <v>-197790</v>
      </c>
    </row>
    <row r="66" ht="12.75">
      <c r="I66" s="976" t="e">
        <f>SUM(I64:I65)</f>
        <v>#REF!</v>
      </c>
    </row>
    <row r="71" ht="12.75">
      <c r="I71" s="675">
        <f>F49+F50</f>
        <v>102676837</v>
      </c>
    </row>
    <row r="72" ht="12.75">
      <c r="I72" s="152">
        <v>-103305724</v>
      </c>
    </row>
    <row r="759" spans="6:8" ht="12.75">
      <c r="F759" s="676">
        <f>4688555+3191349+11997638</f>
        <v>19877542</v>
      </c>
      <c r="G759" s="676"/>
      <c r="H759" s="676"/>
    </row>
    <row r="760" spans="6:8" ht="12.75">
      <c r="F760" s="676"/>
      <c r="G760" s="676"/>
      <c r="H760" s="676"/>
    </row>
    <row r="761" spans="6:8" ht="12.75">
      <c r="F761" s="676">
        <f>F403</f>
        <v>0</v>
      </c>
      <c r="G761" s="676"/>
      <c r="H761" s="676"/>
    </row>
    <row r="762" spans="6:8" ht="12.75">
      <c r="F762" s="676">
        <v>11298954</v>
      </c>
      <c r="G762" s="676"/>
      <c r="H762" s="676"/>
    </row>
    <row r="763" spans="1:8" ht="12.75">
      <c r="A763" s="152" t="s">
        <v>629</v>
      </c>
      <c r="F763" s="676">
        <v>8591585</v>
      </c>
      <c r="G763" s="676"/>
      <c r="H763" s="676"/>
    </row>
    <row r="764" spans="6:8" ht="12.75">
      <c r="F764" s="676"/>
      <c r="G764" s="676"/>
      <c r="H764" s="676"/>
    </row>
    <row r="765" spans="6:8" ht="12.75">
      <c r="F765" s="676"/>
      <c r="G765" s="676"/>
      <c r="H765" s="676"/>
    </row>
    <row r="1102" spans="6:10" ht="12.75">
      <c r="F1102" s="675">
        <f>J1102</f>
        <v>11699291</v>
      </c>
      <c r="J1102" s="670">
        <f>SUM(J1110:J1145)</f>
        <v>11699291</v>
      </c>
    </row>
    <row r="1111" spans="1:10" ht="80.25" customHeight="1">
      <c r="A1111" s="668" t="s">
        <v>842</v>
      </c>
      <c r="J1111" s="670">
        <v>290000</v>
      </c>
    </row>
    <row r="1114" spans="1:10" ht="12.75">
      <c r="A1114" s="152" t="s">
        <v>843</v>
      </c>
      <c r="J1114" s="670">
        <v>360000</v>
      </c>
    </row>
    <row r="1116" ht="12.75">
      <c r="A1116" s="278" t="s">
        <v>620</v>
      </c>
    </row>
    <row r="1117" spans="1:10" ht="73.5" customHeight="1">
      <c r="A1117" s="152" t="s">
        <v>0</v>
      </c>
      <c r="J1117" s="670">
        <v>3600</v>
      </c>
    </row>
    <row r="1119" ht="12.75">
      <c r="A1119" s="278" t="s">
        <v>621</v>
      </c>
    </row>
    <row r="1120" spans="1:10" ht="39.75" customHeight="1">
      <c r="A1120" s="152" t="s">
        <v>1</v>
      </c>
      <c r="J1120" s="670">
        <v>20000</v>
      </c>
    </row>
    <row r="1122" ht="12.75">
      <c r="A1122" s="278" t="s">
        <v>623</v>
      </c>
    </row>
    <row r="1123" spans="1:10" s="669" customFormat="1" ht="59.25" customHeight="1">
      <c r="A1123" s="669" t="s">
        <v>2</v>
      </c>
      <c r="J1123" s="674">
        <v>25691</v>
      </c>
    </row>
    <row r="1132" spans="1:9" ht="12.75">
      <c r="A1132" s="152" t="s">
        <v>624</v>
      </c>
      <c r="I1132" s="152" t="s">
        <v>1587</v>
      </c>
    </row>
    <row r="1135" ht="12.75">
      <c r="A1135" s="152" t="s">
        <v>625</v>
      </c>
    </row>
    <row r="1137" ht="12.75">
      <c r="A1137" s="278" t="s">
        <v>626</v>
      </c>
    </row>
    <row r="1138" ht="12.75">
      <c r="A1138" s="152" t="s">
        <v>627</v>
      </c>
    </row>
    <row r="1141" ht="39.75" customHeight="1"/>
    <row r="1142" ht="12.75">
      <c r="A1142" s="278" t="s">
        <v>628</v>
      </c>
    </row>
    <row r="1143" spans="1:10" ht="39.75" customHeight="1">
      <c r="A1143" s="152" t="s">
        <v>643</v>
      </c>
      <c r="J1143" s="670">
        <v>11000000</v>
      </c>
    </row>
    <row r="1148" ht="12.75">
      <c r="F1148" s="676"/>
    </row>
    <row r="1149" ht="12.75">
      <c r="F1149" s="676"/>
    </row>
    <row r="1150" ht="12.75">
      <c r="F1150" s="676"/>
    </row>
    <row r="1151" ht="12.75">
      <c r="F1151" s="676"/>
    </row>
    <row r="1152" ht="12.75">
      <c r="F1152" s="676"/>
    </row>
  </sheetData>
  <sheetProtection/>
  <mergeCells count="5">
    <mergeCell ref="A60:H60"/>
    <mergeCell ref="A58:G58"/>
    <mergeCell ref="A1:G1"/>
    <mergeCell ref="A2:G2"/>
    <mergeCell ref="A56:G56"/>
  </mergeCells>
  <printOptions verticalCentered="1"/>
  <pageMargins left="0.5511811023622047" right="0.5511811023622047" top="0.1968503937007874" bottom="1.1811023622047245" header="0.31496062992125984" footer="0.5118110236220472"/>
  <pageSetup fitToHeight="1" fitToWidth="1" horizontalDpi="600" verticalDpi="600" orientation="portrait" paperSize="9" scale="58" r:id="rId1"/>
  <headerFooter alignWithMargins="0">
    <oddFooter>&amp;C&amp;"Arial,Bold"&amp;9-  17 -
</oddFooter>
  </headerFooter>
  <colBreaks count="1" manualBreakCount="1">
    <brk id="7"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Tshiamo</dc:creator>
  <cp:keywords/>
  <dc:description/>
  <cp:lastModifiedBy>Libby</cp:lastModifiedBy>
  <cp:lastPrinted>2009-11-12T11:49:00Z</cp:lastPrinted>
  <dcterms:created xsi:type="dcterms:W3CDTF">2007-03-22T10:36:45Z</dcterms:created>
  <dcterms:modified xsi:type="dcterms:W3CDTF">2010-02-05T11:36:26Z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