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260" activeTab="0"/>
  </bookViews>
  <sheets>
    <sheet name="ELECTRICITY@ 13.07%" sheetId="1" r:id="rId1"/>
    <sheet name="Sheet1" sheetId="2" state="hidden" r:id="rId2"/>
    <sheet name="WATER@7.90%" sheetId="3" r:id="rId3"/>
    <sheet name="SANITATION@7.90%" sheetId="4" r:id="rId4"/>
    <sheet name="PROPERTY RATES@0%" sheetId="5" r:id="rId5"/>
    <sheet name="REFUSE REMOVAL@6%" sheetId="6" r:id="rId6"/>
    <sheet name="SERVICE DEPOSIT@6% " sheetId="7" r:id="rId7"/>
    <sheet name="CEMETRIES FEES@0%" sheetId="8" r:id="rId8"/>
    <sheet name="BIODIVERSITY MAN@6% " sheetId="9" r:id="rId9"/>
    <sheet name="BUILDING DEVELOPMENT MANAGEMENT" sheetId="10" r:id="rId10"/>
    <sheet name="REAL ESTATE (NEW)" sheetId="11" r:id="rId11"/>
    <sheet name="DEVELOPMENT  PLANNING" sheetId="12" r:id="rId12"/>
    <sheet name="PUBLIC SAFETY @6%" sheetId="13" r:id="rId13"/>
    <sheet name="GENERAL TARIFFS@6%" sheetId="14" r:id="rId14"/>
    <sheet name="Sheet2" sheetId="15" state="hidden" r:id="rId15"/>
  </sheets>
  <definedNames>
    <definedName name="_xlnm.Print_Area" localSheetId="8">'BIODIVERSITY MAN@6% '!$A$1:$G$150</definedName>
    <definedName name="_xlnm.Print_Area" localSheetId="9">'BUILDING DEVELOPMENT MANAGEMENT'!$A$1:$P$204</definedName>
    <definedName name="_xlnm.Print_Area" localSheetId="7">'CEMETRIES FEES@0%'!$A$1:$P$56</definedName>
    <definedName name="_xlnm.Print_Area" localSheetId="11">'DEVELOPMENT  PLANNING'!$A$1:$P$131</definedName>
    <definedName name="_xlnm.Print_Area" localSheetId="0">'ELECTRICITY@ 13.07%'!$A$1:$R$205</definedName>
    <definedName name="_xlnm.Print_Area" localSheetId="13">'GENERAL TARIFFS@6%'!$A$1:$P$614</definedName>
    <definedName name="_xlnm.Print_Area" localSheetId="4">'PROPERTY RATES@0%'!$A$1:$Z$46</definedName>
    <definedName name="_xlnm.Print_Area" localSheetId="12">'PUBLIC SAFETY @6%'!$A$1:$Q$107</definedName>
    <definedName name="_xlnm.Print_Area" localSheetId="5">'REFUSE REMOVAL@6%'!$A$1:$O$101</definedName>
    <definedName name="_xlnm.Print_Area" localSheetId="3">'SANITATION@7.90%'!$A$1:$M$135</definedName>
    <definedName name="_xlnm.Print_Area" localSheetId="6">'SERVICE DEPOSIT@6% '!$A$1:$O$104</definedName>
    <definedName name="_xlnm.Print_Area" localSheetId="2">'WATER@7.90%'!$A$1:$P$99</definedName>
    <definedName name="_xlnm.Print_Titles" localSheetId="8">'BIODIVERSITY MAN@6% '!$1:$5</definedName>
    <definedName name="_xlnm.Print_Titles" localSheetId="9">'BUILDING DEVELOPMENT MANAGEMENT'!$2:$9</definedName>
    <definedName name="_xlnm.Print_Titles" localSheetId="7">'CEMETRIES FEES@0%'!$2:$7</definedName>
    <definedName name="_xlnm.Print_Titles" localSheetId="11">'DEVELOPMENT  PLANNING'!$1:$7</definedName>
    <definedName name="_xlnm.Print_Titles" localSheetId="0">'ELECTRICITY@ 13.07%'!$1:$7</definedName>
    <definedName name="_xlnm.Print_Titles" localSheetId="13">'GENERAL TARIFFS@6%'!$1:$11</definedName>
    <definedName name="_xlnm.Print_Titles" localSheetId="4">'PROPERTY RATES@0%'!$1:$5</definedName>
    <definedName name="_xlnm.Print_Titles" localSheetId="12">'PUBLIC SAFETY @6%'!$2:$12</definedName>
    <definedName name="_xlnm.Print_Titles" localSheetId="5">'REFUSE REMOVAL@6%'!$2:$9</definedName>
    <definedName name="_xlnm.Print_Titles" localSheetId="3">'SANITATION@7.90%'!$1:$7</definedName>
    <definedName name="_xlnm.Print_Titles" localSheetId="6">'SERVICE DEPOSIT@6% '!$2:$8</definedName>
    <definedName name="_xlnm.Print_Titles" localSheetId="2">'WATER@7.90%'!$1:$6</definedName>
  </definedNames>
  <calcPr fullCalcOnLoad="1"/>
</workbook>
</file>

<file path=xl/comments1.xml><?xml version="1.0" encoding="utf-8"?>
<comments xmlns="http://schemas.openxmlformats.org/spreadsheetml/2006/main">
  <authors>
    <author>Binang Monkwe</author>
  </authors>
  <commentList>
    <comment ref="C33" authorId="0">
      <text>
        <r>
          <rPr>
            <b/>
            <sz val="9"/>
            <rFont val="Tahoma"/>
            <family val="2"/>
          </rPr>
          <t>Binang Monkwe:</t>
        </r>
        <r>
          <rPr>
            <sz val="9"/>
            <rFont val="Tahoma"/>
            <family val="2"/>
          </rPr>
          <t xml:space="preserve">
poor households</t>
        </r>
      </text>
    </comment>
  </commentList>
</comments>
</file>

<file path=xl/comments14.xml><?xml version="1.0" encoding="utf-8"?>
<comments xmlns="http://schemas.openxmlformats.org/spreadsheetml/2006/main">
  <authors>
    <author>Binang Monkwe</author>
  </authors>
  <commentList>
    <comment ref="J514" authorId="0">
      <text>
        <r>
          <rPr>
            <b/>
            <sz val="9"/>
            <rFont val="Tahoma"/>
            <family val="2"/>
          </rPr>
          <t>Binang Monkwe:</t>
        </r>
        <r>
          <rPr>
            <sz val="9"/>
            <rFont val="Tahoma"/>
            <family val="2"/>
          </rPr>
          <t xml:space="preserve">
This is due to Gauteng Public Library &amp; Information Services Act 2014 that prohibits charging a member of public to pay a fee.</t>
        </r>
      </text>
    </comment>
  </commentList>
</comments>
</file>

<file path=xl/comments3.xml><?xml version="1.0" encoding="utf-8"?>
<comments xmlns="http://schemas.openxmlformats.org/spreadsheetml/2006/main">
  <authors>
    <author>Nomvuzo Mmemezi</author>
  </authors>
  <commentList>
    <comment ref="N34" authorId="0">
      <text>
        <r>
          <rPr>
            <b/>
            <sz val="9"/>
            <rFont val="Tahoma"/>
            <family val="2"/>
          </rPr>
          <t>Nomvuzo Mmemezi:</t>
        </r>
        <r>
          <rPr>
            <sz val="9"/>
            <rFont val="Tahoma"/>
            <family val="2"/>
          </rPr>
          <t xml:space="preserve">
Increase rate not consistent with above 5.61%!!!
</t>
        </r>
      </text>
    </comment>
  </commentList>
</comments>
</file>

<file path=xl/comments8.xml><?xml version="1.0" encoding="utf-8"?>
<comments xmlns="http://schemas.openxmlformats.org/spreadsheetml/2006/main">
  <authors>
    <author>Rinus Bouwer</author>
  </authors>
  <commentList>
    <comment ref="H37" authorId="0">
      <text>
        <r>
          <rPr>
            <b/>
            <sz val="9"/>
            <rFont val="Tahoma"/>
            <family val="2"/>
          </rPr>
          <t>Rinus Bouwer:</t>
        </r>
        <r>
          <rPr>
            <sz val="9"/>
            <rFont val="Tahoma"/>
            <family val="2"/>
          </rPr>
          <t xml:space="preserve">
We had to reduce the exhumation fee as we are not performing actual exhumation but just opening the grave. This is also to be in line with other Municipalities' rates</t>
        </r>
      </text>
    </comment>
  </commentList>
</comments>
</file>

<file path=xl/sharedStrings.xml><?xml version="1.0" encoding="utf-8"?>
<sst xmlns="http://schemas.openxmlformats.org/spreadsheetml/2006/main" count="3281" uniqueCount="1529">
  <si>
    <t xml:space="preserve">     Peak</t>
  </si>
  <si>
    <t>0262</t>
  </si>
  <si>
    <t>07:00 -10:00  18:00 -20:00</t>
  </si>
  <si>
    <t>High Demand(Jun-Aug)</t>
  </si>
  <si>
    <t>0263</t>
  </si>
  <si>
    <t>Low Demand(Sep-May)</t>
  </si>
  <si>
    <t xml:space="preserve">    Standard</t>
  </si>
  <si>
    <t>0264</t>
  </si>
  <si>
    <t>06:00 -07:00  10:00 -18:00 20:00 -22:00</t>
  </si>
  <si>
    <t>07:00 -12:00  18:00 -20:00</t>
  </si>
  <si>
    <t>0265</t>
  </si>
  <si>
    <t xml:space="preserve">    Off-Peak</t>
  </si>
  <si>
    <t>0266</t>
  </si>
  <si>
    <t>22:00 -06:00</t>
  </si>
  <si>
    <t>12:00 -18:00  20:00 -07:00</t>
  </si>
  <si>
    <t>00:00 -24:00</t>
  </si>
  <si>
    <t>0267</t>
  </si>
  <si>
    <t>6.  Commercial &amp; Industrial - Bulk Consumers High Voltage</t>
  </si>
  <si>
    <t xml:space="preserve">  6.1.      Three-Part</t>
  </si>
  <si>
    <t xml:space="preserve">  6.2.      Time-of-Use</t>
  </si>
  <si>
    <t>MOGALE CITY  LOCAL MUNICIPALITY</t>
  </si>
  <si>
    <t>1. Domestic</t>
  </si>
  <si>
    <t>INCREASE</t>
  </si>
  <si>
    <t>Energy (c/kWh)</t>
  </si>
  <si>
    <t>Fixed Charge (R/A/CB rating)</t>
  </si>
  <si>
    <t>2009/10</t>
  </si>
  <si>
    <t>Fire hydrant charges</t>
  </si>
  <si>
    <t>To be quoted</t>
  </si>
  <si>
    <t>Water connections</t>
  </si>
  <si>
    <t>Testing of water meters</t>
  </si>
  <si>
    <t>Vandalised</t>
  </si>
  <si>
    <t>Tampered with</t>
  </si>
  <si>
    <t>Termination of water meter</t>
  </si>
  <si>
    <t>Deposit for construction site connection</t>
  </si>
  <si>
    <t>False water/sewer complaint</t>
  </si>
  <si>
    <t>Pressure test</t>
  </si>
  <si>
    <t>Activated sludge</t>
  </si>
  <si>
    <t>Cadmium (Cd)</t>
  </si>
  <si>
    <t>Chemical Oxygen Demand (COD) Filtered</t>
  </si>
  <si>
    <t>Chemical Oxygen Demand (COD) Total</t>
  </si>
  <si>
    <t>Cobalt (Co)</t>
  </si>
  <si>
    <t>Colour</t>
  </si>
  <si>
    <t>Copper (Cu)</t>
  </si>
  <si>
    <t>Cyanide-free (CN)</t>
  </si>
  <si>
    <t>Cyanide-total (CN)</t>
  </si>
  <si>
    <t>Electricity Conductivity (EC)</t>
  </si>
  <si>
    <t>Fluoride (F)</t>
  </si>
  <si>
    <t>N/A</t>
  </si>
  <si>
    <t>MOBILE REFUSE CONTAINERS 240L BINS</t>
  </si>
  <si>
    <t>Domestic Refuse:One removal per week per 240l container per month or part thereof</t>
  </si>
  <si>
    <t>Business Refuse: One removal per week per 240l container per month or part threof</t>
  </si>
  <si>
    <t>Business Refuse:Daily removal per 240l container per month or part thereof</t>
  </si>
  <si>
    <t>Handling /Delivery Fees per container to be delivered</t>
  </si>
  <si>
    <t>Replacement of lost/damaged container (payable in advance if fault of user)</t>
  </si>
  <si>
    <t>BIN LINERS</t>
  </si>
  <si>
    <t>One removal of 28 m3 container</t>
  </si>
  <si>
    <t>A minimum of 3(three) removals of 28 m3 container per month</t>
  </si>
  <si>
    <t xml:space="preserve">One removal of 12 m3 container </t>
  </si>
  <si>
    <t>A minimum of 3 (Three) removals of 12 m3 container per month</t>
  </si>
  <si>
    <t>One removal of 5 m3 container</t>
  </si>
  <si>
    <t>A minimum of 4 (Four) removals of 5 m3 container per month</t>
  </si>
  <si>
    <t>One Removal of 6m3 container for 7(seven days rental)</t>
  </si>
  <si>
    <t>One removal of 10 m3 container</t>
  </si>
  <si>
    <t>A minimum of 3(Three) removals of 10 m3 container per month</t>
  </si>
  <si>
    <t>One removal of static compactor or part thereof from a bussiness or residential area privately owned</t>
  </si>
  <si>
    <t>Free</t>
  </si>
  <si>
    <t>Disposal of general and non -hazardous solid waste by Mogale City Contractors and business</t>
  </si>
  <si>
    <t>Clean Building Rubble (less than 300mm in diametre)</t>
  </si>
  <si>
    <t>Soil usable as cover material (at site supervisor's discretion)</t>
  </si>
  <si>
    <t>Tyres-rim size up to 40cm diametre</t>
  </si>
  <si>
    <t>Tyres -rim size greater than 40cm diametre</t>
  </si>
  <si>
    <t>REMOVAL BY MEANS OF VACUUM TANKS</t>
  </si>
  <si>
    <t>For the removal of soil-water and waste water by means of a vacuum tank,per month or part thereof, Sewage per kilolitre hauled.</t>
  </si>
  <si>
    <t>For the removal of soil-water and waste water by means of a vacuum tank,per month or part thereof: Industrial effluent per kilolitre hauled</t>
  </si>
  <si>
    <t>Additional fixed charge, per vacuum tank,per month or part thereof (provided that these tariffs do not include laboratory fees)</t>
  </si>
  <si>
    <t>For the removal of soil -water and wastewater outside the area of jurisdiction,by means of vacuum tank: per kilolitre</t>
  </si>
  <si>
    <t>Additional fixed charge,per load of 10 kilolitre or part thereof</t>
  </si>
  <si>
    <t>Bovine,horse,mule,donkey,or other animals of similar size</t>
  </si>
  <si>
    <t>Sheep,goat,calf,large dog and other animals of  similar size</t>
  </si>
  <si>
    <t>Carcass of any smaller animal</t>
  </si>
  <si>
    <t>Each dog or domestic or captive wild animal brought for destruction (burial included)</t>
  </si>
  <si>
    <t>GENERAL TARIFFS AND OTHER USER CHARGES</t>
  </si>
  <si>
    <t>INTEGRATED ENVIRONMENTAL MANAGEMENT</t>
  </si>
  <si>
    <t>RENTAL OF PARKS:</t>
  </si>
  <si>
    <t>Non Profit Oraganisations with no sales</t>
  </si>
  <si>
    <t>Non Profit Organisation with sales</t>
  </si>
  <si>
    <t>Any organisation for sale and marketing of goods and services</t>
  </si>
  <si>
    <t>R25 m2</t>
  </si>
  <si>
    <t>Musical Concert where 50% of profits or more used for charity and no sale food beverages takes place</t>
  </si>
  <si>
    <t>Musical Concert where 50% of profits or more used for charity and sale of food beverages takes place</t>
  </si>
  <si>
    <t>LAPAS HIRE</t>
  </si>
  <si>
    <t>Renting of Lapa at Coronation Park</t>
  </si>
  <si>
    <t>Deposit for rental of Lapa</t>
  </si>
  <si>
    <t>Renting of DIEM Office Lapa</t>
  </si>
  <si>
    <t>WOOD RECYCLING</t>
  </si>
  <si>
    <t>Single purchases of 1m3 or less</t>
  </si>
  <si>
    <t>Bulk purchases of more than 1m3</t>
  </si>
  <si>
    <t>RENTAL OF PLANTS</t>
  </si>
  <si>
    <t>10% plants wholesale value with minimum deposit of R1 166.00</t>
  </si>
  <si>
    <t>R80 labour charge per hour + material cost</t>
  </si>
  <si>
    <t>Weekdays</t>
  </si>
  <si>
    <t>Adult monumental sections- standard</t>
  </si>
  <si>
    <t>Adult monumental sections- casket/8ft/ext</t>
  </si>
  <si>
    <t>Adult monumental sections- re-openning cas-ext-over</t>
  </si>
  <si>
    <t>Children monumental sections</t>
  </si>
  <si>
    <t>Adult monumental sections- re-openning cas-ext-8ft</t>
  </si>
  <si>
    <t>Wall Of Remembrance:Residents</t>
  </si>
  <si>
    <t>Single niche w.o.r</t>
  </si>
  <si>
    <t>Additional ashes in w.o.r</t>
  </si>
  <si>
    <t>Ashes in existing grave</t>
  </si>
  <si>
    <t>Reserve single grave</t>
  </si>
  <si>
    <t>Exhumation fees</t>
  </si>
  <si>
    <t>Advertising on section markers- per annum</t>
  </si>
  <si>
    <t>Pauper Graves:</t>
  </si>
  <si>
    <t>Late bookings</t>
  </si>
  <si>
    <t>cost plus 20%</t>
  </si>
  <si>
    <t>CARAVAN PARK</t>
  </si>
  <si>
    <t>Stand</t>
  </si>
  <si>
    <t>Adult</t>
  </si>
  <si>
    <t>Children 2 to 12 years</t>
  </si>
  <si>
    <t>Rallys more than 20 caravans</t>
  </si>
  <si>
    <t>SUBMISSION OF LANDSCAPE DEVELOPMENT PLANS</t>
  </si>
  <si>
    <t>200M2 TO 10 000M2</t>
  </si>
  <si>
    <t>10,001M2 TO 5HA</t>
  </si>
  <si>
    <t>50,001 M2 TO 10HA</t>
  </si>
  <si>
    <t>LARGER THAN 10HA</t>
  </si>
  <si>
    <t>Compilation of Report</t>
  </si>
  <si>
    <t>Conducting Aquatic Biomonitoring for Commerce &amp; Industry (including Mining Houses &amp; surrounding Municipalities)</t>
  </si>
  <si>
    <t>Investigation &amp; Site Inspections</t>
  </si>
  <si>
    <t>Compliance Monitoring w.r.t Water Use registration &amp; Licensing o.b.o DWAF</t>
  </si>
  <si>
    <t>Investigations &amp; Site Inspections</t>
  </si>
  <si>
    <t>Manager</t>
  </si>
  <si>
    <t>Officer</t>
  </si>
  <si>
    <t>Investigation:</t>
  </si>
  <si>
    <t>Pre-Application Consultation</t>
  </si>
  <si>
    <t>Compiance Monitoring w.r.t EMPRs o.b.o DME</t>
  </si>
  <si>
    <t>SPORTS AND RECREATION</t>
  </si>
  <si>
    <t>Charity users</t>
  </si>
  <si>
    <t>LIBRARY SERVICES</t>
  </si>
  <si>
    <t>Membership</t>
  </si>
  <si>
    <t>Pensioners</t>
  </si>
  <si>
    <t>Inter library loans</t>
  </si>
  <si>
    <t>Reservations</t>
  </si>
  <si>
    <t>Internet fees (30 minutes)</t>
  </si>
  <si>
    <t>Downloads</t>
  </si>
  <si>
    <t>FAXES</t>
  </si>
  <si>
    <t>Local: First page</t>
  </si>
  <si>
    <t>Local: Following pages</t>
  </si>
  <si>
    <t>National: First page</t>
  </si>
  <si>
    <t>National: Following pages</t>
  </si>
  <si>
    <t>Neighbouring countries: First page</t>
  </si>
  <si>
    <t>Neighbouring countries: Following pages</t>
  </si>
  <si>
    <t>Railway Sidings Certificates</t>
  </si>
  <si>
    <t>Endorsement of Title Deed Certificate</t>
  </si>
  <si>
    <t>Street Closure</t>
  </si>
  <si>
    <t>Offer to purchase residential erven</t>
  </si>
  <si>
    <t>Offer to purchase/lease big erven</t>
  </si>
  <si>
    <t>Valuation roll per area</t>
  </si>
  <si>
    <t>Valuation roll for entire MCLM</t>
  </si>
  <si>
    <t>URBAN DEVELOPMENT</t>
  </si>
  <si>
    <t xml:space="preserve">          - If Promulgation is done by council </t>
  </si>
  <si>
    <t>Consideration of a Site Development Plan-Clause 12, Krugersdorp TPS,1980</t>
  </si>
  <si>
    <t>Consideration of a Site Development Plan-Peri -Urban ,Krugersdorp TPS,1975</t>
  </si>
  <si>
    <t xml:space="preserve">Consideration of application to increase number of storeys indicated  in a specific height zone-Clause 5(d) (bb) Krugersdorp TPS,1980 </t>
  </si>
  <si>
    <t>Issue of Zoning Certificate</t>
  </si>
  <si>
    <t>Application for extension of time -all applications</t>
  </si>
  <si>
    <t>Amendment of conditions of establishments requested by applicant (excluding amendments required by Surveyor general and Registrar of deeds)</t>
  </si>
  <si>
    <t>Issue of Regulation 38 Certificate,Division of Land Ordinance, 20of 1986</t>
  </si>
  <si>
    <t>Request to withhold proclamation of township</t>
  </si>
  <si>
    <t>Residential</t>
  </si>
  <si>
    <t>FINANCIAL MANAGEMENT SERVICES</t>
  </si>
  <si>
    <t>SERVICE DEPOSIT</t>
  </si>
  <si>
    <t>Townships (Owner)</t>
  </si>
  <si>
    <t>Townships (Tenant)</t>
  </si>
  <si>
    <t>Surburb (Owner)</t>
  </si>
  <si>
    <t>Surburb (Tenants)</t>
  </si>
  <si>
    <t>Flats</t>
  </si>
  <si>
    <t>Unemployed</t>
  </si>
  <si>
    <t>Rural (Water only</t>
  </si>
  <si>
    <t>Water only (Owner)</t>
  </si>
  <si>
    <t>Water only (Tenants)</t>
  </si>
  <si>
    <t>Electricity only (Owner)</t>
  </si>
  <si>
    <t>Electricity only (Tenant)</t>
  </si>
  <si>
    <t>Council owned houses/flats</t>
  </si>
  <si>
    <t>Three month rental</t>
  </si>
  <si>
    <t>Applepark (Key deposit)</t>
  </si>
  <si>
    <t>Council Owned old age flats</t>
  </si>
  <si>
    <t xml:space="preserve">Single </t>
  </si>
  <si>
    <t>Double</t>
  </si>
  <si>
    <t>Commercial /business /industrial</t>
  </si>
  <si>
    <t>New Commercial bulk supply</t>
  </si>
  <si>
    <t>Residential development</t>
  </si>
  <si>
    <t>In terms of contract</t>
  </si>
  <si>
    <t>Existing bulk supply</t>
  </si>
  <si>
    <t>Three month consumption</t>
  </si>
  <si>
    <t>New small commercial business</t>
  </si>
  <si>
    <t>Existing small commercial supply</t>
  </si>
  <si>
    <t>Water only (Township)</t>
  </si>
  <si>
    <t>Water only (suburb)</t>
  </si>
  <si>
    <t>Unclassified</t>
  </si>
  <si>
    <t>Schools,Churches &amp; NGO`S</t>
  </si>
  <si>
    <t>Schools (Private)</t>
  </si>
  <si>
    <t>Schools (Government)</t>
  </si>
  <si>
    <t>NGO'S</t>
  </si>
  <si>
    <t>Connection</t>
  </si>
  <si>
    <t>ITC check</t>
  </si>
  <si>
    <t>Revenue stamp</t>
  </si>
  <si>
    <t>Clearance certificate</t>
  </si>
  <si>
    <t>Final reading</t>
  </si>
  <si>
    <t>Duplicate account</t>
  </si>
  <si>
    <t>Photcopies</t>
  </si>
  <si>
    <t>Residential/Business/Small Holding/Agriculture/NGO/State</t>
  </si>
  <si>
    <t>Final Warning</t>
  </si>
  <si>
    <t>Cut off 1 aerial and ground mounted electricity</t>
  </si>
  <si>
    <t>Cut off 2 aerial and ground mounted electricity</t>
  </si>
  <si>
    <t>Cut off water installation of restriction</t>
  </si>
  <si>
    <t>Water further restriction device</t>
  </si>
  <si>
    <t xml:space="preserve">Rip electricity </t>
  </si>
  <si>
    <t>Rip Water</t>
  </si>
  <si>
    <t>Size of Paper</t>
  </si>
  <si>
    <t>A0</t>
  </si>
  <si>
    <t>A1</t>
  </si>
  <si>
    <t>A2</t>
  </si>
  <si>
    <t>A3</t>
  </si>
  <si>
    <t>A4</t>
  </si>
  <si>
    <t>Inspection Fee for advertising</t>
  </si>
  <si>
    <t>Signage on Sports Grounds with television potential - per Financial year or pro-rata portion thereof ending June of each year</t>
  </si>
  <si>
    <t>Signage on any other Sports Ground</t>
  </si>
  <si>
    <t>Repurchase of transit signs confiscated by the Municipality</t>
  </si>
  <si>
    <t>Repurchase of any other type of sign confiscated by the Municipality</t>
  </si>
  <si>
    <t>Annual permit registration fee temporary signs</t>
  </si>
  <si>
    <t>Fine per temporary board/sign per registered estate agent</t>
  </si>
  <si>
    <t>Fee per board/sign for a period of 90 days for  private seller</t>
  </si>
  <si>
    <t xml:space="preserve">APPLICATION </t>
  </si>
  <si>
    <t>Demolition Permit Fee</t>
  </si>
  <si>
    <t>Masts,aerials antennae/special structures</t>
  </si>
  <si>
    <t>Issue of cerificate that existing building /structure compiled with the approved building plan on record</t>
  </si>
  <si>
    <t>The execution of work by MCLM on Council`s property at the request of any person</t>
  </si>
  <si>
    <t>Kerb Deposit on Residential 1</t>
  </si>
  <si>
    <t>Kerb Deposit on any other development</t>
  </si>
  <si>
    <t>Rental for hoarding,fencing and scaffolding on MCLM road reserve (pavement)</t>
  </si>
  <si>
    <t xml:space="preserve">Section 7(6) Approvals </t>
  </si>
  <si>
    <t>Minor Building works</t>
  </si>
  <si>
    <t>Any re-inspection works</t>
  </si>
  <si>
    <t>Swimming pools</t>
  </si>
  <si>
    <t>Drainage inspection only</t>
  </si>
  <si>
    <t>To sink a borehole</t>
  </si>
  <si>
    <t>Copy of monthly statistics &amp; schedule of approved plans per set</t>
  </si>
  <si>
    <t>Microfilm, per copy</t>
  </si>
  <si>
    <t>Hawkers' stand fees</t>
  </si>
  <si>
    <t>Gazebos</t>
  </si>
  <si>
    <t>Business Licence - application and duplicate fees</t>
  </si>
  <si>
    <t>Sale and supply of meals or perishable foodstuffs</t>
  </si>
  <si>
    <t>Provision of certain types of health facilities or entertainment</t>
  </si>
  <si>
    <t>Duplicate of business licence</t>
  </si>
  <si>
    <t xml:space="preserve">Business Licence - application fees payable in terms of The Business Act, 71 of 1991 </t>
  </si>
  <si>
    <t>Sale and supply of meals or perishable foodstuffs- all other licences mentioned in Schedule 1 of the Business Act, 71 of 1991.</t>
  </si>
  <si>
    <t>Providing turkish bath, saunas or other health baths</t>
  </si>
  <si>
    <t>Providing massage or infra-red treatment</t>
  </si>
  <si>
    <t>Providing the service of an escort, whether male or female</t>
  </si>
  <si>
    <t>Keeping three or more machanical, electronic or eletrical contrivances, instruments apparatus or devices</t>
  </si>
  <si>
    <t>Keeping three or more snooker or billiars tables</t>
  </si>
  <si>
    <t>Keeping or conducting a night club or discotheque</t>
  </si>
  <si>
    <t>Keeping or conducting a cinema or theatre</t>
  </si>
  <si>
    <t>Adult premises</t>
  </si>
  <si>
    <t>Hawking in meals or perishable foodstuffs</t>
  </si>
  <si>
    <t>SOCIAL DEVELOPMENT</t>
  </si>
  <si>
    <t>Deposits</t>
  </si>
  <si>
    <t>Centenary Hall</t>
  </si>
  <si>
    <t>Banquet Hall</t>
  </si>
  <si>
    <t>Market Hall</t>
  </si>
  <si>
    <t>Paul Kruger Hall</t>
  </si>
  <si>
    <t>Sports Lapa Hall</t>
  </si>
  <si>
    <t>Kagiso Hall</t>
  </si>
  <si>
    <t>Azaadville Hall</t>
  </si>
  <si>
    <t>Jubilee Hall</t>
  </si>
  <si>
    <t>Munsieville Hall</t>
  </si>
  <si>
    <t>Magaliesburg Hall</t>
  </si>
  <si>
    <t>Council reserves the right to charge the amount of R2 000  over the above deposit per category, once the risk has been assessed.</t>
  </si>
  <si>
    <t>Hiring fees per day (Monday-Thursday)</t>
  </si>
  <si>
    <t>Hiring fees per day (Friday-Sunday)</t>
  </si>
  <si>
    <t>Political gatherings- deposits</t>
  </si>
  <si>
    <t>RESIDENTIAL</t>
  </si>
  <si>
    <t>MUNICIPAL</t>
  </si>
  <si>
    <t>INDUSTRIAL</t>
  </si>
  <si>
    <t>RELIGIOUS</t>
  </si>
  <si>
    <t>Final demand</t>
  </si>
  <si>
    <t>Admin fee/RD's/Rejected Debit Orders</t>
  </si>
  <si>
    <t>Special Check reading</t>
  </si>
  <si>
    <t>Special Meter reading per customer request</t>
  </si>
  <si>
    <t xml:space="preserve">Name and address of any person as may be on Council record </t>
  </si>
  <si>
    <t>GENERAL</t>
  </si>
  <si>
    <t>Notes:</t>
  </si>
  <si>
    <t>A conversion surcharge shall be payable, equal to a percentage as set out</t>
  </si>
  <si>
    <t>hereunder of the financial savings that the consumer may enjoy, by virtue of</t>
  </si>
  <si>
    <t>changing to a Time-of-Use tariff:</t>
  </si>
  <si>
    <t>First year</t>
  </si>
  <si>
    <t>:</t>
  </si>
  <si>
    <t>Surcharge = 67% of saving</t>
  </si>
  <si>
    <t>Second year</t>
  </si>
  <si>
    <t>Surcharge = 33% of saving</t>
  </si>
  <si>
    <t>Thereafter</t>
  </si>
  <si>
    <t>Nil</t>
  </si>
  <si>
    <t>5.  Commercial &amp; Industrial - Bulk Consumers Low Voltage</t>
  </si>
  <si>
    <t xml:space="preserve">  5.1.      Three-Part</t>
  </si>
  <si>
    <t>0273</t>
  </si>
  <si>
    <t>0202</t>
  </si>
  <si>
    <t>0291</t>
  </si>
  <si>
    <t xml:space="preserve">  5.2.      Time-of-Use:</t>
  </si>
  <si>
    <t>Saturday</t>
  </si>
  <si>
    <t>Sunday</t>
  </si>
  <si>
    <t>Excluding VAT</t>
  </si>
  <si>
    <t>Tariff Code</t>
  </si>
  <si>
    <t>ENVIRONMENTAL ELECTRICITY LEVY</t>
  </si>
  <si>
    <t>1.  Domestic - Single Consumers</t>
  </si>
  <si>
    <t xml:space="preserve">  1.1.          Pre-Paid</t>
  </si>
  <si>
    <t>0269</t>
  </si>
  <si>
    <t>0277</t>
  </si>
  <si>
    <t xml:space="preserve">  1.3.          Two-Part</t>
  </si>
  <si>
    <t>0270</t>
  </si>
  <si>
    <t>0200</t>
  </si>
  <si>
    <t xml:space="preserve">  1.4.      Two-Part: Time-of-Use</t>
  </si>
  <si>
    <t>50 kWh / Month</t>
  </si>
  <si>
    <t>2.  Domestic - Bulk Consumers Low Voltage</t>
  </si>
  <si>
    <t xml:space="preserve">  2.1.      Three-Part</t>
  </si>
  <si>
    <t xml:space="preserve">  2.2.      Time-of-Use:</t>
  </si>
  <si>
    <t>3.  Domestic - Bulk Consumers High Voltage</t>
  </si>
  <si>
    <t xml:space="preserve">  3.1.      Three-Part</t>
  </si>
  <si>
    <t xml:space="preserve">  3.2.      Time-of-Use</t>
  </si>
  <si>
    <t>4.   Commercial and Industrial - Small Consumers</t>
  </si>
  <si>
    <t xml:space="preserve"> 4.1.      Two-Part</t>
  </si>
  <si>
    <t>0271</t>
  </si>
  <si>
    <t>0209</t>
  </si>
  <si>
    <t xml:space="preserve">  4.3.      Pre-Paid</t>
  </si>
  <si>
    <t>0274</t>
  </si>
  <si>
    <t>0201</t>
  </si>
  <si>
    <t>0290</t>
  </si>
  <si>
    <t>0289</t>
  </si>
  <si>
    <t>0293</t>
  </si>
  <si>
    <t>0282</t>
  </si>
  <si>
    <t>0280</t>
  </si>
  <si>
    <t>0283</t>
  </si>
  <si>
    <t>0281</t>
  </si>
  <si>
    <t>0211</t>
  </si>
  <si>
    <t>0294</t>
  </si>
  <si>
    <t>0276</t>
  </si>
  <si>
    <t>STATE OWNED PROPERTIES NON-RESIDENTIAL</t>
  </si>
  <si>
    <t>STATE OWNED PROPERTIES RESIDENTIAL</t>
  </si>
  <si>
    <t>EDUCATION INSTUTION</t>
  </si>
  <si>
    <t>SECTIONAL TITLE- INDUSTRIAL</t>
  </si>
  <si>
    <t>SECTIONAL TITLE- RESIDENTIAL</t>
  </si>
  <si>
    <t>SECTIONAL TITLE- BUSINESS</t>
  </si>
  <si>
    <t>AGRICULTURAL - BUSINESS</t>
  </si>
  <si>
    <t xml:space="preserve">AGRICULTURAL </t>
  </si>
  <si>
    <t>INDIGENTS</t>
  </si>
  <si>
    <t>PENSIONER REBATE. PROPERTY TAX</t>
  </si>
  <si>
    <t>PUBLIC SERVICE INFRASTRUCTURE (PSI)</t>
  </si>
  <si>
    <t>NEW TARIFF</t>
  </si>
  <si>
    <t>PRIMARY VALUATION REDUCTION</t>
  </si>
  <si>
    <t>ADDITIONAL VALUATION REDUCTION</t>
  </si>
  <si>
    <t>TARIFF REBATE</t>
  </si>
  <si>
    <t>ADDITIONAL REBATE</t>
  </si>
  <si>
    <t>REBATE</t>
  </si>
  <si>
    <t>100% (Exempted)</t>
  </si>
  <si>
    <t>PROPERTIES  &amp; ADMINISTRATION</t>
  </si>
  <si>
    <t>2009/2010</t>
  </si>
  <si>
    <t>R</t>
  </si>
  <si>
    <t>CEMETERY FEES</t>
  </si>
  <si>
    <t>SOCIAL SERVICES</t>
  </si>
  <si>
    <t xml:space="preserve">PARKS MANAGEMENT </t>
  </si>
  <si>
    <t>2010/2011</t>
  </si>
  <si>
    <t>%</t>
  </si>
  <si>
    <t>Increase</t>
  </si>
  <si>
    <t>Monumental Sections: Weekdays</t>
  </si>
  <si>
    <t>Monumental Sections: Weekends</t>
  </si>
  <si>
    <t xml:space="preserve">Other Fees Payable: </t>
  </si>
  <si>
    <t>Prescribed fee multiplied by 6</t>
  </si>
  <si>
    <t>Prescribed fee multiplied by 7</t>
  </si>
  <si>
    <t>Musical Concert which is profit driven</t>
  </si>
  <si>
    <t>Deposit for park rental</t>
  </si>
  <si>
    <t>100% Rental Fee</t>
  </si>
  <si>
    <t>Renting of Oukraal Lapa (NGO;ABA)</t>
  </si>
  <si>
    <t>Renting of Oukraal Lapa (Internal; Governmental)</t>
  </si>
  <si>
    <t>Renting of Oukraal Lapa (Corporate Events)</t>
  </si>
  <si>
    <t>R7000/m3 hardwood &amp; R3100/m3 softwood</t>
  </si>
  <si>
    <t>R6000/m3 hardwood &amp; R2000/m3 softwood</t>
  </si>
  <si>
    <t>Cutting of private logs per cut per running meter</t>
  </si>
  <si>
    <t>10% plants wholesale value with minimum deposit of R1 167</t>
  </si>
  <si>
    <t>Cost Recovery Fee - Contractual Servicing (WfW)</t>
  </si>
  <si>
    <t>Executive Manager</t>
  </si>
  <si>
    <t>- Basic Fee (Compulsory)</t>
  </si>
  <si>
    <t>- Notice of Application (If done by Council)</t>
  </si>
  <si>
    <t>- Section 125 Amendment Scheme (If done by Council)</t>
  </si>
  <si>
    <t>- Proclamation (If done by Council)</t>
  </si>
  <si>
    <t>- Amendment not material</t>
  </si>
  <si>
    <t>- Material amendment</t>
  </si>
  <si>
    <t>- Notice of application (If done by Council)</t>
  </si>
  <si>
    <t>- Section 125 Amendment Scheme(If done by Council)</t>
  </si>
  <si>
    <t>Application for a Section 101 Certificate</t>
  </si>
  <si>
    <t xml:space="preserve">          - 1st applications (year1)</t>
  </si>
  <si>
    <t xml:space="preserve">          - 2nd application (year 2)</t>
  </si>
  <si>
    <t xml:space="preserve">          - 3rd application (year 3)</t>
  </si>
  <si>
    <t>Fine Per Board/Sign Per unregistered Estate Agent or Private Seller</t>
  </si>
  <si>
    <t>AREA FEE/10M2 FOR BUILDING PLANS</t>
  </si>
  <si>
    <t>1001-2000m2</t>
  </si>
  <si>
    <t>2001m2 +</t>
  </si>
  <si>
    <t>Regulation F (10) (4) Where such sheds are not constructed, located or maintained in terms of this regulation, the local authority may serve a notice on such owner or person to move, reconstruct or repair or improve the condition of such sheds within a time specified in such notice, or if use thereof is being made other than that permitted in terms of this regulation, to cease such un-permitted use.</t>
  </si>
  <si>
    <t>Regulation F (10) (5) On completion or cessation of the work refereed to in sub-regulations (1) or where such sheds are no longer necessary for the purpose for which they were erected, the shall be removed from the site by the owner.</t>
  </si>
  <si>
    <t>COPIES - REPRODUCED FROM ORIGINALS OR MASTER</t>
  </si>
  <si>
    <t>PRINTING COST</t>
  </si>
  <si>
    <t>Paper Size - Line Images</t>
  </si>
  <si>
    <t>A 0</t>
  </si>
  <si>
    <t>A 1</t>
  </si>
  <si>
    <t>A 2</t>
  </si>
  <si>
    <t>A 3</t>
  </si>
  <si>
    <t>A 4</t>
  </si>
  <si>
    <t>Paper Size - Flood Images</t>
  </si>
  <si>
    <t>Paper Size - Digital (JPG or PDF) on CD Provided by applicant</t>
  </si>
  <si>
    <t xml:space="preserve">Division of land -Section 6(1),Division of land ordinance ,1986 (excluding advertisement fee) </t>
  </si>
  <si>
    <t>CATEGORY</t>
  </si>
  <si>
    <t xml:space="preserve">    1.1.1.        Pre-Paid: Single Phase</t>
  </si>
  <si>
    <t xml:space="preserve">    1.1.2.        Pre-Paid: Three Phase</t>
  </si>
  <si>
    <t>0236</t>
  </si>
  <si>
    <t>0237</t>
  </si>
  <si>
    <t>0238</t>
  </si>
  <si>
    <t>0216</t>
  </si>
  <si>
    <t>212</t>
  </si>
  <si>
    <t>241</t>
  </si>
  <si>
    <t>242</t>
  </si>
  <si>
    <t>243</t>
  </si>
  <si>
    <t>244</t>
  </si>
  <si>
    <t>245</t>
  </si>
  <si>
    <t>246</t>
  </si>
  <si>
    <t>247</t>
  </si>
  <si>
    <t>213</t>
  </si>
  <si>
    <t>248</t>
  </si>
  <si>
    <t>249</t>
  </si>
  <si>
    <t>214</t>
  </si>
  <si>
    <t>250</t>
  </si>
  <si>
    <t>251</t>
  </si>
  <si>
    <t>252</t>
  </si>
  <si>
    <t>253</t>
  </si>
  <si>
    <t>254</t>
  </si>
  <si>
    <t>255</t>
  </si>
  <si>
    <t>256</t>
  </si>
  <si>
    <t>215</t>
  </si>
  <si>
    <t>257</t>
  </si>
  <si>
    <t>0233</t>
  </si>
  <si>
    <t>0234</t>
  </si>
  <si>
    <t>0235</t>
  </si>
  <si>
    <t>0217</t>
  </si>
  <si>
    <t xml:space="preserve">    4.3.1.      Pre-Paid: Single Phase</t>
  </si>
  <si>
    <t>Maximum Consumption:  1 000 kWh / Month</t>
  </si>
  <si>
    <t xml:space="preserve">    4.3.2.      Pre-Paid: Three Phase</t>
  </si>
  <si>
    <t>0208</t>
  </si>
  <si>
    <t>0268</t>
  </si>
  <si>
    <t>REMOVAL AND BURIAL OF DEAD ANIMALS                                                                   CODE 1216</t>
  </si>
  <si>
    <t>BULKY REFUSE                                                       CODE 1213</t>
  </si>
  <si>
    <t>MASS REFUSE                                         CODE 1213</t>
  </si>
  <si>
    <t>Execluding travelling reimbursements per AA Tariff</t>
  </si>
  <si>
    <t>INTEGRATED CATCHMENT MANAGEMENT &amp; CONSERVATION MANAGEMENT</t>
  </si>
  <si>
    <t xml:space="preserve">Use registration &amp; Licensing o.b.o. </t>
  </si>
  <si>
    <t>ENVIRONMENTAL PLANNING &amp; MANAGEMENT</t>
  </si>
  <si>
    <t>Project co-ordinator &amp; facilitation, Investigation, Assessment, Inspections; Pre- Application Consultation</t>
  </si>
  <si>
    <t>Desktop Assessment &amp; Env Scans</t>
  </si>
  <si>
    <t>ENVIRONMENTAL AUDITING &amp; LAW ENFORCEMENT</t>
  </si>
  <si>
    <t>Project co-ordinator &amp; facilitation</t>
  </si>
  <si>
    <t>EMPRs; EMPs; EIAs; RODs</t>
  </si>
  <si>
    <t>Jubille Hall</t>
  </si>
  <si>
    <t>Hekpoort Hall</t>
  </si>
  <si>
    <t>Burgershoop Hall</t>
  </si>
  <si>
    <t>Extension 12</t>
  </si>
  <si>
    <t>Lusaka Hall</t>
  </si>
  <si>
    <t>Tarlton Hall</t>
  </si>
  <si>
    <t>Extension 2 &amp; 3</t>
  </si>
  <si>
    <t xml:space="preserve">Hall Deposits </t>
  </si>
  <si>
    <t>Political gatherings- rental</t>
  </si>
  <si>
    <t>Report</t>
  </si>
  <si>
    <t>Fines for late books</t>
  </si>
  <si>
    <t>Once off card fee</t>
  </si>
  <si>
    <t>Adult monumental sections- casket+8ft/ext</t>
  </si>
  <si>
    <t>Adult monumental sections- re-openning fees - standard</t>
  </si>
  <si>
    <t>Adult monumental sections- re-openning fees - casket/8ft/ext</t>
  </si>
  <si>
    <t>Adult monumental sections- re-openning fees - casket+8ft/ext</t>
  </si>
  <si>
    <t>Children monumental sections - standard</t>
  </si>
  <si>
    <t>Adult monumental sections- casket+8ft/ or ext</t>
  </si>
  <si>
    <t>Adult monumental sections- re-openning fees - casket+8ft/ or ext</t>
  </si>
  <si>
    <t>1 Pauper - Per Grave</t>
  </si>
  <si>
    <t>2 Paupers - Per Grave</t>
  </si>
  <si>
    <t>3 Paupers - Per Grave</t>
  </si>
  <si>
    <t xml:space="preserve"> </t>
  </si>
  <si>
    <t>1 Baby pauper - Per Grave</t>
  </si>
  <si>
    <t>2 Baby pauper - Per Grave (Max)</t>
  </si>
  <si>
    <t>Auditorium</t>
  </si>
  <si>
    <t>Children (Under 19)</t>
  </si>
  <si>
    <t>Block member</t>
  </si>
  <si>
    <t>Adult (non -residents)</t>
  </si>
  <si>
    <t>Children (Non-residents)</t>
  </si>
  <si>
    <t>Pensioners (Non -residents)</t>
  </si>
  <si>
    <t>Block member (Non- residents)</t>
  </si>
  <si>
    <t>CD-Rom members</t>
  </si>
  <si>
    <t>CD-Rom (Non-resident)</t>
  </si>
  <si>
    <t>Peplacement fee for lost cards</t>
  </si>
  <si>
    <t>Issue fee for CDRom, etc</t>
  </si>
  <si>
    <t xml:space="preserve"> Photocopies</t>
  </si>
  <si>
    <t xml:space="preserve"> Computer printouts</t>
  </si>
  <si>
    <t>Specialist</t>
  </si>
  <si>
    <t>Sub-Letting of park space for stalls or market per day for profit taking events as per policy</t>
  </si>
  <si>
    <t>VACANT PROPERTIES (RESIDENTIAL)</t>
  </si>
  <si>
    <t>AGRICULTURAL - RESIDENTIAL</t>
  </si>
  <si>
    <t>Iron (Fe)</t>
  </si>
  <si>
    <t>Lead (Pb)</t>
  </si>
  <si>
    <t>Magnesium (Mg)</t>
  </si>
  <si>
    <t>Manganese (Mn)</t>
  </si>
  <si>
    <t>Nickel (Ni)</t>
  </si>
  <si>
    <t>Nitrogen Nitrite (NO2-N)</t>
  </si>
  <si>
    <t>Oil &amp; Grease</t>
  </si>
  <si>
    <t>Osec Determination</t>
  </si>
  <si>
    <t>Phenol</t>
  </si>
  <si>
    <t>Potassium (K)</t>
  </si>
  <si>
    <t>Sludge Volume Index (SVI)</t>
  </si>
  <si>
    <t>Sodium (Na)</t>
  </si>
  <si>
    <t>Sulphate (SO4)</t>
  </si>
  <si>
    <t>Sulphide (SO3)</t>
  </si>
  <si>
    <t>Total Metal Content (if all metals are requested)</t>
  </si>
  <si>
    <t>Turbidity</t>
  </si>
  <si>
    <t>Volatile Fatty Acids (VFA)</t>
  </si>
  <si>
    <t>Zinc (Zn)</t>
  </si>
  <si>
    <t>per R500 kg or part thereof</t>
  </si>
  <si>
    <t>2011/2012</t>
  </si>
  <si>
    <t>R120 labour charge per hour + material cost</t>
  </si>
  <si>
    <t>Excluding travelling reimbursements per AA Tariff</t>
  </si>
  <si>
    <t>Alkalinity (Talk)</t>
  </si>
  <si>
    <t>Bacteria-Escherichia coli (EC)</t>
  </si>
  <si>
    <t>Bacteria-Faecal Coliforms (FC)</t>
  </si>
  <si>
    <t>Bacteria-Faecal Streptococci (FS)</t>
  </si>
  <si>
    <t>Bacteria-Heterotropic count (SPC)</t>
  </si>
  <si>
    <t>Bacteria-Total Coliforms (TC)</t>
  </si>
  <si>
    <t>Hardness-Magnesium</t>
  </si>
  <si>
    <t>Hardness-Total</t>
  </si>
  <si>
    <t>% Increase</t>
  </si>
  <si>
    <t>240</t>
  </si>
  <si>
    <t>All matches</t>
  </si>
  <si>
    <t>High- Risk events</t>
  </si>
  <si>
    <t>14 500 per day</t>
  </si>
  <si>
    <t xml:space="preserve">        '- Non-profitable</t>
  </si>
  <si>
    <t xml:space="preserve">        '- Profitable</t>
  </si>
  <si>
    <t>500 per day</t>
  </si>
  <si>
    <t>950 per day</t>
  </si>
  <si>
    <t>Unclassified bookings</t>
  </si>
  <si>
    <t>Practice sessions</t>
  </si>
  <si>
    <t>double the rate of the tariff of the service required</t>
  </si>
  <si>
    <t>Lights  (for evening bookings)</t>
  </si>
  <si>
    <t>40 per hour</t>
  </si>
  <si>
    <t>20 per hour</t>
  </si>
  <si>
    <t>SCHEDULE 3</t>
  </si>
  <si>
    <t>Usage of the Museum Courtroom</t>
  </si>
  <si>
    <t>Book Fees: Weekdays (16h30- till late)</t>
  </si>
  <si>
    <t>Book Fees: Weekends (16h30 till late)</t>
  </si>
  <si>
    <t>Book Fees: Weekdays (07h30-16h00)</t>
  </si>
  <si>
    <t>Book Fees: Weekends (07h30-16h00)</t>
  </si>
  <si>
    <t>180.00 p/h</t>
  </si>
  <si>
    <t>190.00 p/h</t>
  </si>
  <si>
    <t>220.00 p/h</t>
  </si>
  <si>
    <t>270.00 p/h</t>
  </si>
  <si>
    <t>A deposit of R1 500.00 will be payable on approval of the booking and refunded after completion of the project, provided that there is no damage caused to municipal property and equipment.</t>
  </si>
  <si>
    <t>2012/2013</t>
  </si>
  <si>
    <t>COST CENTRE NUMBER</t>
  </si>
  <si>
    <t xml:space="preserve"> 2011/2012 </t>
  </si>
  <si>
    <t xml:space="preserve"> R </t>
  </si>
  <si>
    <t xml:space="preserve"> 856+124/m2 </t>
  </si>
  <si>
    <t xml:space="preserve"> 856+124/m2</t>
  </si>
  <si>
    <t xml:space="preserve"> 11.00/m² </t>
  </si>
  <si>
    <t xml:space="preserve"> 13.00/m² </t>
  </si>
  <si>
    <t xml:space="preserve"> Cost  + 25% </t>
  </si>
  <si>
    <t xml:space="preserve"> R6.00/m2/week </t>
  </si>
  <si>
    <t xml:space="preserve">GENERAL TARIFFS </t>
  </si>
  <si>
    <t>PUBLIC SAFETY</t>
  </si>
  <si>
    <t>Additional Fees: Saturday Tests</t>
  </si>
  <si>
    <t>Copy of accident report</t>
  </si>
  <si>
    <t>Advertising - Posters</t>
  </si>
  <si>
    <t>Advertising - Banners</t>
  </si>
  <si>
    <t>Advertising - Trailer</t>
  </si>
  <si>
    <t>Inspection fees on above</t>
  </si>
  <si>
    <t>Refund on Poster</t>
  </si>
  <si>
    <t>Refund on Banner</t>
  </si>
  <si>
    <t>PUBLIC SAFETY PER TARIFF POLICY</t>
  </si>
  <si>
    <t>Chief Supt-Normal Rates</t>
  </si>
  <si>
    <t>Chief Supt-Overtime</t>
  </si>
  <si>
    <t>Chief Supt-Night Rate</t>
  </si>
  <si>
    <t>Chief Supt-Sunday Rate</t>
  </si>
  <si>
    <t>Superintendent-Normal Rates</t>
  </si>
  <si>
    <t>Superintendent-Overtime</t>
  </si>
  <si>
    <t>Superintendent-Night Rate</t>
  </si>
  <si>
    <t>Superintendent-Sunday Rate</t>
  </si>
  <si>
    <t>A/Supt-Normal Rates</t>
  </si>
  <si>
    <t>A/Supt-Overtime</t>
  </si>
  <si>
    <t>A/Supt-Night Rate</t>
  </si>
  <si>
    <t>A/Supt-Sunday Rate</t>
  </si>
  <si>
    <t>Traffic Officer-Normal Rates</t>
  </si>
  <si>
    <t>Traffic Officer-Overtime</t>
  </si>
  <si>
    <t>Traffic Officer-Night Rate</t>
  </si>
  <si>
    <t>Traffic Officer-Sunday Rate</t>
  </si>
  <si>
    <t>Sergeant-Normal Rates</t>
  </si>
  <si>
    <t>Sergeant-Overtime</t>
  </si>
  <si>
    <t>Sergeant-Night Rate</t>
  </si>
  <si>
    <t>Sergeant-Sunday Rate</t>
  </si>
  <si>
    <t>Security Officer-Normal Rates</t>
  </si>
  <si>
    <t>Security Officer-Overtime</t>
  </si>
  <si>
    <t>Security Officer-Night Rate</t>
  </si>
  <si>
    <t>Security Officer-Sunday Rate</t>
  </si>
  <si>
    <t>Driver-Normal Rates</t>
  </si>
  <si>
    <t>Driver-Overtime</t>
  </si>
  <si>
    <t>Driver-Night Rate</t>
  </si>
  <si>
    <t>Driver-Sunday Rate</t>
  </si>
  <si>
    <t>Traffic Warden-Normal Rates</t>
  </si>
  <si>
    <t>Traffic Warden-Overtime</t>
  </si>
  <si>
    <t>Traffic Warden-Night Rate</t>
  </si>
  <si>
    <t>Traffic Warden-Sunday Rate</t>
  </si>
  <si>
    <t>General Worker-Normal Rates</t>
  </si>
  <si>
    <t>General Worker-Overtime</t>
  </si>
  <si>
    <t>General Worker-Night Rate</t>
  </si>
  <si>
    <t>General Worker-Sunday Rate</t>
  </si>
  <si>
    <t>PLANNING COSTS per HOURLY RATE</t>
  </si>
  <si>
    <t>Chief Supt</t>
  </si>
  <si>
    <t>Supt</t>
  </si>
  <si>
    <t>A/Supt</t>
  </si>
  <si>
    <t>Traffic Officer</t>
  </si>
  <si>
    <t>Sergeant</t>
  </si>
  <si>
    <t>Security Officer</t>
  </si>
  <si>
    <t>Driver</t>
  </si>
  <si>
    <t>Workman</t>
  </si>
  <si>
    <t>VEHICLES - (Includes lease, Insurance &amp; Fuel) Per kilometer Rate</t>
  </si>
  <si>
    <t>Double Cab LDV,Sedan,Hatch,Kombi</t>
  </si>
  <si>
    <t>Motorcycle</t>
  </si>
  <si>
    <t>5 Ton LDV,3 Ton LDV, 2 Ton LDV</t>
  </si>
  <si>
    <t>FILMING ON PUBLIC ROADS per Hourly Rate</t>
  </si>
  <si>
    <t>For Profit</t>
  </si>
  <si>
    <t>Non- Profit</t>
  </si>
  <si>
    <t>ESCORT OF ABNORMAL LOADS per Hourly Rate</t>
  </si>
  <si>
    <t>Road Closure Tariffs</t>
  </si>
  <si>
    <t>Officer &amp; 1 vehicle for two hours</t>
  </si>
  <si>
    <t>0-50 kilometers Saturday</t>
  </si>
  <si>
    <t>0-50 kilometers Sunday</t>
  </si>
  <si>
    <t>51-100 kilometers Saturday</t>
  </si>
  <si>
    <t>51-100 kilometers Sunday</t>
  </si>
  <si>
    <t>Officer &amp; 1 vehicle for three hours</t>
  </si>
  <si>
    <t>101-150 kilometers Saturday</t>
  </si>
  <si>
    <t>101-150 kilometers Sunday</t>
  </si>
  <si>
    <t>151-200 kilometers Saturday</t>
  </si>
  <si>
    <t>151-200 kilometers Sunday</t>
  </si>
  <si>
    <t xml:space="preserve">Impounding of vehicles per day </t>
  </si>
  <si>
    <t>Towing of vehicles: Light motor vehicles (3500kg or less)</t>
  </si>
  <si>
    <t>Towing of vehicles: Heavy motor vehicles ( above 3500kg)</t>
  </si>
  <si>
    <t>GENERAL TARIFFS</t>
  </si>
  <si>
    <t>R28 m3</t>
  </si>
  <si>
    <t>SPECIAL USE</t>
  </si>
  <si>
    <t>DISPOSAL  OF SOLID WASTE PER 500kg                                                                                                                  CODE 1211</t>
  </si>
  <si>
    <t>Disposal of general and non-hazardous solid waste by any person from outside the boundaries of Mogale City per 500kg</t>
  </si>
  <si>
    <t>WATER</t>
  </si>
  <si>
    <t>2008/09</t>
  </si>
  <si>
    <t xml:space="preserve">INCREASE </t>
  </si>
  <si>
    <t>7-15 kl</t>
  </si>
  <si>
    <t>16-30 kl</t>
  </si>
  <si>
    <t>31-45 kl</t>
  </si>
  <si>
    <t>46-60kl</t>
  </si>
  <si>
    <t>61 kl + above</t>
  </si>
  <si>
    <t>Sectional titles(Residential)</t>
  </si>
  <si>
    <t>0-6 kl (Per living unit in a residential complex with metered or unmetered water and sewer connection, meaning registered sectional title units/townhouses,  life rights complexes, old age homes, block of flats and excludes formal or informal granny's flats and backyard rooms)</t>
  </si>
  <si>
    <t>0-500 kl</t>
  </si>
  <si>
    <t>500kl + above</t>
  </si>
  <si>
    <t>Using a fire service connection for purposes not related to fire extinguishing fire</t>
  </si>
  <si>
    <t>Resealing of fire hose reel and hydrant when they are broken</t>
  </si>
  <si>
    <t>Hire of fire services per month</t>
  </si>
  <si>
    <t>15mm (pre-paid water meter)</t>
  </si>
  <si>
    <t>25mm (not combo meter)</t>
  </si>
  <si>
    <t>50mm (not combo meter)</t>
  </si>
  <si>
    <t>80mm</t>
  </si>
  <si>
    <t>100mm</t>
  </si>
  <si>
    <t>15mm</t>
  </si>
  <si>
    <t>25mm</t>
  </si>
  <si>
    <t>50mm</t>
  </si>
  <si>
    <t>75mm</t>
  </si>
  <si>
    <t>110mm</t>
  </si>
  <si>
    <t>160mm</t>
  </si>
  <si>
    <t>Domestic water tariffs</t>
  </si>
  <si>
    <t>200mm</t>
  </si>
  <si>
    <t>250mm</t>
  </si>
  <si>
    <t>Pre-paid water meters</t>
  </si>
  <si>
    <t>Services Fines</t>
  </si>
  <si>
    <t>Meter test</t>
  </si>
  <si>
    <t>Pipeline inspection - water / sewer:1st inspection per hour</t>
  </si>
  <si>
    <t>Pipeline inspection - water / sewer: 2 nd inspection per hour</t>
  </si>
  <si>
    <t>SANITATION</t>
  </si>
  <si>
    <t>Additional Sewerage fixed usage 30kl /month</t>
  </si>
  <si>
    <t>Basic Charges per m2</t>
  </si>
  <si>
    <t xml:space="preserve"> VACUUM TANKERS SERVICES TARIFFS</t>
  </si>
  <si>
    <t>Removal of soil-water and wastewater within  15km from town hall</t>
  </si>
  <si>
    <t>Sewage per kl hauled</t>
  </si>
  <si>
    <t>Per Hole</t>
  </si>
  <si>
    <t>Removal of soil and wastewater 15km from Town Hall</t>
  </si>
  <si>
    <t>Per kl hauled</t>
  </si>
  <si>
    <t>Industrial effluent per hauled</t>
  </si>
  <si>
    <t>Council purpose per kl hauled</t>
  </si>
  <si>
    <t>Outside the jurisdiction per kl hauled</t>
  </si>
  <si>
    <t xml:space="preserve"> WATER AND WASTEWATER ANALYTICAL CHARGES</t>
  </si>
  <si>
    <t>Water and Wastewater Analytical Charges</t>
  </si>
  <si>
    <t>Full Chemical &amp; Bacteriological Analyses Sewage per kl hauled</t>
  </si>
  <si>
    <t>Full Chemical Analysis</t>
  </si>
  <si>
    <t>Full Bacteriological Analysis</t>
  </si>
  <si>
    <t>Aluminium (AI)</t>
  </si>
  <si>
    <t>Beryllium(Be)</t>
  </si>
  <si>
    <t>Calcuim (Ca)</t>
  </si>
  <si>
    <t>Chloride (CI)</t>
  </si>
  <si>
    <t>Chlorine (C12)</t>
  </si>
  <si>
    <t>Chlorine (C12) Total</t>
  </si>
  <si>
    <t>Chromium – hexavalent</t>
  </si>
  <si>
    <t>Chromium – Total (Cr)</t>
  </si>
  <si>
    <t>Hardness-calcium</t>
  </si>
  <si>
    <t>Langerlier Index (Ph , Ph's)</t>
  </si>
  <si>
    <t>Nitrogen Ammonia (NH3-N)</t>
  </si>
  <si>
    <t>Nitrogen- Kjeldahl(TKN)</t>
  </si>
  <si>
    <t>Nitrigen Nitrate (NO3-N)</t>
  </si>
  <si>
    <t>Oxygen - Dissolved (DO)</t>
  </si>
  <si>
    <t>Ph</t>
  </si>
  <si>
    <t>Phosphate -Ortho (O-PO4)</t>
  </si>
  <si>
    <t>Phosphate - Total (T-PO4)</t>
  </si>
  <si>
    <t>Precipitation Potential (Ph's)</t>
  </si>
  <si>
    <t>Ryznar Index (Ph, PH's)</t>
  </si>
  <si>
    <t>Silicon (Si)</t>
  </si>
  <si>
    <t>Sodium Adsorption Ratio (SAR)</t>
  </si>
  <si>
    <t>Solids -Mixed Liqour Suspended (MLSS)</t>
  </si>
  <si>
    <t>Solids - Mixed Liqour Volatile Suspended (MLVSS)</t>
  </si>
  <si>
    <t>Solids - Suspended (SS)</t>
  </si>
  <si>
    <t>Soilds Total (TS)</t>
  </si>
  <si>
    <t>Solids Total Dissolved (TDS)</t>
  </si>
  <si>
    <t>Solids - Volatile (VS)</t>
  </si>
  <si>
    <t xml:space="preserve">Temperature </t>
  </si>
  <si>
    <t>R2 000 (and thereafter R50,00 per day)</t>
  </si>
  <si>
    <t>kWh Consumption: 1 -  1 000 kWh / Month</t>
  </si>
  <si>
    <t>NEW</t>
  </si>
  <si>
    <t>kWh Consumption:  51 -  350 kWh / Month</t>
  </si>
  <si>
    <t xml:space="preserve">    1.2.3.    Energy (R/kWh)</t>
  </si>
  <si>
    <t xml:space="preserve">    1.2.4.    Energy (R/kWh)</t>
  </si>
  <si>
    <t>7.  Municipal Streetlights, Traffic lights ect.</t>
  </si>
  <si>
    <t xml:space="preserve">Waste License Administration Fees </t>
  </si>
  <si>
    <t xml:space="preserve">Annual Waste License </t>
  </si>
  <si>
    <t>Annual Waste License Renewal Fees</t>
  </si>
  <si>
    <t>Late Annual Renewal Fees</t>
  </si>
  <si>
    <t>Licence Reinstatement Rees</t>
  </si>
  <si>
    <t>BUSINESS WASTE REMOVALS</t>
  </si>
  <si>
    <t>New</t>
  </si>
  <si>
    <t xml:space="preserve">12.10/m² </t>
  </si>
  <si>
    <t xml:space="preserve"> 14.38/m² </t>
  </si>
  <si>
    <t>R6.60/m2/week</t>
  </si>
  <si>
    <t xml:space="preserve"> 942+136/m2 </t>
  </si>
  <si>
    <t>R2 200 (and thereafter R55,00 per day)</t>
  </si>
  <si>
    <t>R7,700/m3 hardwood &amp; R3,410/m3 softwood</t>
  </si>
  <si>
    <t>R6,600/m3 hardwood &amp; R2,200/m3 softwood</t>
  </si>
  <si>
    <t>12% plants wholesale value with minimum deposit of R1 ,284</t>
  </si>
  <si>
    <t>R132 labour charge per hour + material cost</t>
  </si>
  <si>
    <t>15,950 per day</t>
  </si>
  <si>
    <t>550 per day</t>
  </si>
  <si>
    <t>1,045 per day</t>
  </si>
  <si>
    <t>22 per hour</t>
  </si>
  <si>
    <t>44 per hour</t>
  </si>
  <si>
    <t>198.00 p/h</t>
  </si>
  <si>
    <t>209.00 p/h</t>
  </si>
  <si>
    <t>242.00 p/h</t>
  </si>
  <si>
    <t>297.00 p/h</t>
  </si>
  <si>
    <t>Rocker's Fashion &amp; Beads</t>
  </si>
  <si>
    <t>Home Affairs</t>
  </si>
  <si>
    <t>MCLM Internal Departments</t>
  </si>
  <si>
    <t>West Rand Scholar Transport</t>
  </si>
  <si>
    <t>Mogale City Educational Transport</t>
  </si>
  <si>
    <t>FAMSA</t>
  </si>
  <si>
    <t>West Rand Community Advice Centre</t>
  </si>
  <si>
    <t>Fully Human Stage</t>
  </si>
  <si>
    <t>Thabang Lephele Community Organization</t>
  </si>
  <si>
    <t xml:space="preserve">        '- Adults</t>
  </si>
  <si>
    <t xml:space="preserve">        '- Children</t>
  </si>
  <si>
    <t>CONSENT CERTIFICATES</t>
  </si>
  <si>
    <t xml:space="preserve">        '- Season Tickets for schools </t>
  </si>
  <si>
    <t xml:space="preserve">        '- Seasonal Club Fee</t>
  </si>
  <si>
    <t xml:space="preserve">        '- Rental for aquatic sports</t>
  </si>
  <si>
    <t>Disposal of clean compostable garden refuse by Mogale City residents up to 500kg</t>
  </si>
  <si>
    <t>Disposal of clean compostable garden refuse by Mogale City Contractors per 500kg</t>
  </si>
  <si>
    <t>Disposal of clean compostable garden refuse by Mogale City residents in excess of 500kg</t>
  </si>
  <si>
    <t>GAME RESERVE ENTRANCE FEES</t>
  </si>
  <si>
    <t>Adult entry</t>
  </si>
  <si>
    <t>Child entry under 12 years of age</t>
  </si>
  <si>
    <t>Mountainbike ride (cycling entry)</t>
  </si>
  <si>
    <t>Mountainbike six month season ticket</t>
  </si>
  <si>
    <t>School groups and special need people per person</t>
  </si>
  <si>
    <t>CARAVAN PARK &amp; CAMPSITE FEES</t>
  </si>
  <si>
    <t>Weekdays per stand</t>
  </si>
  <si>
    <t>Weekend days per stand</t>
  </si>
  <si>
    <t>Public holiday and long weekend per stand, per day</t>
  </si>
  <si>
    <t>*Above rate includes four people</t>
  </si>
  <si>
    <t>Additional person including children</t>
  </si>
  <si>
    <t>Additional vehicle</t>
  </si>
  <si>
    <t>Lapa rental</t>
  </si>
  <si>
    <t xml:space="preserve"> Swimming Pools</t>
  </si>
  <si>
    <t xml:space="preserve">PRIVATE OPEN SPACE </t>
  </si>
  <si>
    <t>PRIVATE OPEN SPACE (MUNICIPAL)</t>
  </si>
  <si>
    <t>Horse trails (payable by operator at reserve entrance)</t>
  </si>
  <si>
    <t>Pensioners rate</t>
  </si>
  <si>
    <t>2013/14</t>
  </si>
  <si>
    <t>8.  Other Services</t>
  </si>
  <si>
    <t xml:space="preserve">  8.1.  Testing of Single Phase Low Voltage Electricity consumption Meter</t>
  </si>
  <si>
    <t xml:space="preserve">  8.2.  Testing of Three Phase and Poly Phase Low Voltage Electricity consumption Meter</t>
  </si>
  <si>
    <t xml:space="preserve">  8.3.  Testing of High Voltage Electricity consumption Meter</t>
  </si>
  <si>
    <t xml:space="preserve">  8.5.  Penalties for making an Illegal Electrical connection.</t>
  </si>
  <si>
    <t xml:space="preserve">          cost of the meter installation to the outside if the installation was on the inside of the property. </t>
  </si>
  <si>
    <t>Hall Deposit Chief Mogale MPCC</t>
  </si>
  <si>
    <t>Funerals</t>
  </si>
  <si>
    <t>Meetings/ workshops</t>
  </si>
  <si>
    <t>Weddings</t>
  </si>
  <si>
    <t>Parties</t>
  </si>
  <si>
    <t>Competitions</t>
  </si>
  <si>
    <t>Conferences</t>
  </si>
  <si>
    <t>Hall Hire Chief Mogale MPCC</t>
  </si>
  <si>
    <t xml:space="preserve">Funerals </t>
  </si>
  <si>
    <t>Meetings/workshops</t>
  </si>
  <si>
    <t>Basic Sewerage  Fixed usage 30kl/month : Vacant stand</t>
  </si>
  <si>
    <t>2014/2015</t>
  </si>
  <si>
    <t>R2542.30 (and thereafter R63.13 per day)</t>
  </si>
  <si>
    <t>R8,898.12/m3 hardwood &amp; R3,940.81/m3 software</t>
  </si>
  <si>
    <t>R7,627/m3 hardwood &amp; R2,435/m3 softwood</t>
  </si>
  <si>
    <t>13% plants wholesale value with minimum deposit of R1,484</t>
  </si>
  <si>
    <t>R152.43 labour charge per hour + material cost</t>
  </si>
  <si>
    <t>R32 m3</t>
  </si>
  <si>
    <t>Mogale City Local Municipality</t>
  </si>
  <si>
    <t>2013-2014</t>
  </si>
  <si>
    <t>2014-2015</t>
  </si>
  <si>
    <t>2014/15</t>
  </si>
  <si>
    <t>kWh Consumption: 1 001 -  1 500 kWh / Month</t>
  </si>
  <si>
    <t>kWh Consumption: &gt; 1 500  kWh / Month</t>
  </si>
  <si>
    <r>
      <t xml:space="preserve">  1.2.          Life Line  (Poor Households)   </t>
    </r>
    <r>
      <rPr>
        <b/>
        <sz val="8"/>
        <rFont val="Verdana"/>
        <family val="2"/>
      </rPr>
      <t>(Conventional and Pre-Paid Metering)</t>
    </r>
  </si>
  <si>
    <t xml:space="preserve">    1.3.1.    Energy (R/kWh)</t>
  </si>
  <si>
    <t xml:space="preserve">    1.3.2.    Fixed Charge (R/A/CB rating) (60A)</t>
  </si>
  <si>
    <t xml:space="preserve">        Energy (R/kWh):</t>
  </si>
  <si>
    <t xml:space="preserve">    1.4.1.    During Eskom PEAK Times</t>
  </si>
  <si>
    <t xml:space="preserve">    1.4.2.    During Eskom STANDARD Times</t>
  </si>
  <si>
    <t xml:space="preserve">    1.4.3.    During Eskom OFF-PEAK Times</t>
  </si>
  <si>
    <t xml:space="preserve">    1.4.4.    Fixed Charge (R/A/CB rating)</t>
  </si>
  <si>
    <t xml:space="preserve">    2.1.1.  Energy (R/kWh)</t>
  </si>
  <si>
    <t xml:space="preserve">    2.1.2.  Fixed Charge (Rand/Month)</t>
  </si>
  <si>
    <t xml:space="preserve">    2.1.3.  Demand Charge ( R/kVA )</t>
  </si>
  <si>
    <t xml:space="preserve">    2.1.4.  Reactive Energy Charge (R/kvarh)</t>
  </si>
  <si>
    <t xml:space="preserve">    2.2.1.  Energy Charge (R/kWh)</t>
  </si>
  <si>
    <t xml:space="preserve">   2.2.2.  Fixed Charge (Rand/Month)</t>
  </si>
  <si>
    <t xml:space="preserve">   2.2.3.  Demand Charge ( R/kVA )</t>
  </si>
  <si>
    <t xml:space="preserve">   2.2.4.  Reactive Energy Charge (R/kvarh)</t>
  </si>
  <si>
    <t xml:space="preserve">    3.1.1.  Energy (R/kWh)</t>
  </si>
  <si>
    <t xml:space="preserve">    3.1.2.  Fixed Charge (Rand/Month)</t>
  </si>
  <si>
    <t xml:space="preserve">    3.1.3.  Demand Charge ( R/kVA )</t>
  </si>
  <si>
    <t xml:space="preserve">    3.1.4.  Reactive Energy Charge (R/kvarh)</t>
  </si>
  <si>
    <t xml:space="preserve">    3.2.1.  Energy Charge (R/kWh)</t>
  </si>
  <si>
    <t xml:space="preserve">   3.2.2.  Fixed Charge (Rand/Month)</t>
  </si>
  <si>
    <t xml:space="preserve">   3.2.3.  Demand Charge ( R/kVA )</t>
  </si>
  <si>
    <t xml:space="preserve">   3.2.4.  Reactive Energy Charge (R/kvarh)</t>
  </si>
  <si>
    <t xml:space="preserve">   4.1.1.  Energy (R/kWh)</t>
  </si>
  <si>
    <t xml:space="preserve">   4.1.2.  Fixed Charge (R/A/CB rating)</t>
  </si>
  <si>
    <t xml:space="preserve"> 4.2.      Two-Part: Time-of-Use</t>
  </si>
  <si>
    <t xml:space="preserve">   4.2.1.  Energy (R/kWh):</t>
  </si>
  <si>
    <t xml:space="preserve">     4.2.1.1. During Eskom PEAK Times</t>
  </si>
  <si>
    <t xml:space="preserve">     4.2.1.2. During Eskom STANDARD Times</t>
  </si>
  <si>
    <t xml:space="preserve">     4.2.1.3. During Eskom OFF-PEAK Times</t>
  </si>
  <si>
    <t xml:space="preserve">   4.2.2. Fixed Charge (R/A/CB rating)</t>
  </si>
  <si>
    <t xml:space="preserve">      4.3.1.1.  Energy (R/kWh)</t>
  </si>
  <si>
    <t xml:space="preserve">      4.3.1.2.  Fixed Charge (R/A/CB rating)</t>
  </si>
  <si>
    <t>NO Charge</t>
  </si>
  <si>
    <t xml:space="preserve">      4.3.2.1.  Energy (R/kWh)</t>
  </si>
  <si>
    <t xml:space="preserve">      4.3.2.2.  Fixed Charge (R/A/CB rating)</t>
  </si>
  <si>
    <t xml:space="preserve">    5.1.1.  Energy (R/kWh)</t>
  </si>
  <si>
    <t xml:space="preserve">    5.1.2.  Fixed Charge (Rand/Month)</t>
  </si>
  <si>
    <t xml:space="preserve">    5.1.3.  Demand Charge ( R/kVA )</t>
  </si>
  <si>
    <t xml:space="preserve">    5.1.4.  Reactive Energy Charge (R/kvarh)</t>
  </si>
  <si>
    <t xml:space="preserve">    5.2.1.  Energy Charge (R/kWh)</t>
  </si>
  <si>
    <t xml:space="preserve">   5.2.2.  Fixed Charge (Rand/Month)</t>
  </si>
  <si>
    <t xml:space="preserve">   5.2.3.  Demand Charge ( R/kVA )</t>
  </si>
  <si>
    <t xml:space="preserve">   5.2.4.  Reactive Energy Charge (R/kvarh)</t>
  </si>
  <si>
    <t xml:space="preserve">    6.1.1.  Energy (R/kWh)</t>
  </si>
  <si>
    <t xml:space="preserve">    6.1.2.  Fixed Charge (Rand/Month)</t>
  </si>
  <si>
    <t xml:space="preserve">    6.1.3.  Demand Charge ( R/kVA )</t>
  </si>
  <si>
    <t xml:space="preserve">    6.1.4.  Reactive Energy Charge (R/kvarh)</t>
  </si>
  <si>
    <t xml:space="preserve">    6.2.1.  Energy Charge (R/kWh)</t>
  </si>
  <si>
    <t xml:space="preserve">    6.2.2.  Fixed Charge (Rand/Month)</t>
  </si>
  <si>
    <t xml:space="preserve">    6.2.3.  Demand Charge ( R/kVA )</t>
  </si>
  <si>
    <t xml:space="preserve">    6.2.4.  Reactive Energy Charge (R/kvarh)</t>
  </si>
  <si>
    <t>R1.7166</t>
  </si>
  <si>
    <t>R0.9254</t>
  </si>
  <si>
    <t>R0.7506</t>
  </si>
  <si>
    <t>R72.51</t>
  </si>
  <si>
    <t>R73.07</t>
  </si>
  <si>
    <t>Tariff % Increase 2014/15 (Frikkie)</t>
  </si>
  <si>
    <t>APPROVED TARIFFS</t>
  </si>
  <si>
    <t>PROPOSED TARIFFS</t>
  </si>
  <si>
    <t xml:space="preserve">  1.5.     FREE Basic Electricity (50 kWh/Month)</t>
  </si>
  <si>
    <r>
      <t xml:space="preserve">    </t>
    </r>
    <r>
      <rPr>
        <b/>
        <sz val="10"/>
        <rFont val="Verdana"/>
        <family val="2"/>
      </rPr>
      <t>1.1.1.1.</t>
    </r>
    <r>
      <rPr>
        <sz val="10"/>
        <rFont val="Verdana"/>
        <family val="2"/>
      </rPr>
      <t xml:space="preserve">  Energy (R/kWh):kWh Consumption: 1 - 1000 kWh/Month</t>
    </r>
  </si>
  <si>
    <r>
      <t xml:space="preserve">    </t>
    </r>
    <r>
      <rPr>
        <b/>
        <sz val="10"/>
        <rFont val="Verdana"/>
        <family val="2"/>
      </rPr>
      <t>1.1.1.2.</t>
    </r>
    <r>
      <rPr>
        <sz val="10"/>
        <rFont val="Verdana"/>
        <family val="2"/>
      </rPr>
      <t xml:space="preserve">  Energy (R/kWh):kWh Consumption: 1001 - 1500 kWh/Month</t>
    </r>
  </si>
  <si>
    <r>
      <t xml:space="preserve">    </t>
    </r>
    <r>
      <rPr>
        <b/>
        <sz val="10"/>
        <rFont val="Verdana"/>
        <family val="2"/>
      </rPr>
      <t>1.1.1.3.</t>
    </r>
    <r>
      <rPr>
        <sz val="10"/>
        <rFont val="Verdana"/>
        <family val="2"/>
      </rPr>
      <t xml:space="preserve">  Energy (R/kWh):kWh Consumption: &gt; 1500  kWh/Month</t>
    </r>
  </si>
  <si>
    <r>
      <t xml:space="preserve">    </t>
    </r>
    <r>
      <rPr>
        <b/>
        <sz val="10"/>
        <rFont val="Verdana"/>
        <family val="2"/>
      </rPr>
      <t>1.1.2.1.</t>
    </r>
    <r>
      <rPr>
        <sz val="10"/>
        <rFont val="Verdana"/>
        <family val="2"/>
      </rPr>
      <t xml:space="preserve">  Energy (R/kWh): kWh Consumption 1- 1000 kWh / Month</t>
    </r>
  </si>
  <si>
    <r>
      <t xml:space="preserve">    </t>
    </r>
    <r>
      <rPr>
        <b/>
        <sz val="10"/>
        <rFont val="Verdana"/>
        <family val="2"/>
      </rPr>
      <t>1.1.2.2.</t>
    </r>
    <r>
      <rPr>
        <sz val="10"/>
        <rFont val="Verdana"/>
        <family val="2"/>
      </rPr>
      <t xml:space="preserve">  Energy (R/kWh): kWh Consumption: 1001 - 1500kWh / Month</t>
    </r>
  </si>
  <si>
    <r>
      <t xml:space="preserve">   </t>
    </r>
    <r>
      <rPr>
        <b/>
        <sz val="10"/>
        <rFont val="Verdana"/>
        <family val="2"/>
      </rPr>
      <t xml:space="preserve"> 1.1.2.3.</t>
    </r>
    <r>
      <rPr>
        <sz val="10"/>
        <rFont val="Verdana"/>
        <family val="2"/>
      </rPr>
      <t xml:space="preserve">  Energy (R/kWh): kWh Consumption &gt; 1500 kWh /Month</t>
    </r>
  </si>
  <si>
    <t xml:space="preserve">    1.2.1.    Energy (R/kWh): kWh Consumption 51 - 350 kWh/Month</t>
  </si>
  <si>
    <t xml:space="preserve">    1.2.2.    Energy (R/kWh): kWh Consumption 351 - 500 kWh / Month</t>
  </si>
  <si>
    <t xml:space="preserve">    1.2.3.    Energy (R/kWh): kWh Consumption 501 - 750 kWh / Month</t>
  </si>
  <si>
    <t xml:space="preserve">    1.2.4.    Energy (R/kWh): kWh Consumption &gt; 751 kWh / Month</t>
  </si>
  <si>
    <t>636.00 per day</t>
  </si>
  <si>
    <t>1208.00 per day</t>
  </si>
  <si>
    <t>25.00 per hour</t>
  </si>
  <si>
    <t>51.00 per hour</t>
  </si>
  <si>
    <t>18432.00 per day</t>
  </si>
  <si>
    <t>749.00 per hour</t>
  </si>
  <si>
    <t>229.00 p/h</t>
  </si>
  <si>
    <t>279.00 p/h</t>
  </si>
  <si>
    <t>343.00p/h</t>
  </si>
  <si>
    <t>Disposal of general waste by Mogale City residents up to 500kg once in seven days</t>
  </si>
  <si>
    <t>Disposal of general and non-hazardous solid waste by Mogale City residents in execess 500 kg and after once-off disposal  within seven days</t>
  </si>
  <si>
    <t>2015/2016</t>
  </si>
  <si>
    <t>R9,432.00/m3 hardwood &amp; R4,177.26/m3 software</t>
  </si>
  <si>
    <t>R8,085/m3 hardwood &amp; R2,581/m3 softwood</t>
  </si>
  <si>
    <t>R34 m3</t>
  </si>
  <si>
    <t>13% plants wholesale value with minimum deposit of R1,573</t>
  </si>
  <si>
    <t>364.00p/h</t>
  </si>
  <si>
    <t>296.00 p/h</t>
  </si>
  <si>
    <t>257.00 p/h</t>
  </si>
  <si>
    <t>243.00 p/h</t>
  </si>
  <si>
    <t>19538.00 per day</t>
  </si>
  <si>
    <t>674.00 per day</t>
  </si>
  <si>
    <t>1280.00 per day</t>
  </si>
  <si>
    <t>794.00 per hour</t>
  </si>
  <si>
    <t>27.00 per hour</t>
  </si>
  <si>
    <t>54.00 per hour</t>
  </si>
  <si>
    <t>R161.58 labour charge per hour + material cost</t>
  </si>
  <si>
    <t xml:space="preserve">FAXING SERVICE NOT AVAILABLE AT ALL THE LIBRARIES </t>
  </si>
  <si>
    <t>2015/16  Tariff Correction</t>
  </si>
  <si>
    <t>(double the rate of the tariff)</t>
  </si>
  <si>
    <t>Users from outside Mogale City</t>
  </si>
  <si>
    <t>MOTOR VEHICLE &amp; DRIVER LICENSING AND REGISTRATION</t>
  </si>
  <si>
    <t xml:space="preserve">Weighbridge Fees </t>
  </si>
  <si>
    <t>13.98/m2</t>
  </si>
  <si>
    <t>14,82/m2</t>
  </si>
  <si>
    <t>16.52/m2</t>
  </si>
  <si>
    <t>MOGALE</t>
  </si>
  <si>
    <t>NERSA</t>
  </si>
  <si>
    <t>350 kWh / Month and 30 Ampere Connection Maximum</t>
  </si>
  <si>
    <t>kWh Consumption:  351 -  500 kWh / Month</t>
  </si>
  <si>
    <t>kWh Consumption:  501 -  750 kWh / Month</t>
  </si>
  <si>
    <t>kWh Consumption:  &gt;  751 kWh / Month</t>
  </si>
  <si>
    <r>
      <t xml:space="preserve">    </t>
    </r>
    <r>
      <rPr>
        <b/>
        <sz val="10"/>
        <rFont val="Verdana"/>
        <family val="2"/>
      </rPr>
      <t>1.1.2.1.</t>
    </r>
    <r>
      <rPr>
        <sz val="10"/>
        <rFont val="Verdana"/>
        <family val="2"/>
      </rPr>
      <t xml:space="preserve">  Energy (R/kWh)</t>
    </r>
  </si>
  <si>
    <r>
      <t xml:space="preserve">    </t>
    </r>
    <r>
      <rPr>
        <b/>
        <sz val="10"/>
        <rFont val="Verdana"/>
        <family val="2"/>
      </rPr>
      <t>1.1.2.2.</t>
    </r>
    <r>
      <rPr>
        <sz val="10"/>
        <rFont val="Verdana"/>
        <family val="2"/>
      </rPr>
      <t xml:space="preserve">  Energy (R/kWh)</t>
    </r>
  </si>
  <si>
    <r>
      <t xml:space="preserve">   </t>
    </r>
    <r>
      <rPr>
        <b/>
        <sz val="10"/>
        <rFont val="Verdana"/>
        <family val="2"/>
      </rPr>
      <t xml:space="preserve"> 1.1.2.3.</t>
    </r>
    <r>
      <rPr>
        <sz val="10"/>
        <rFont val="Verdana"/>
        <family val="2"/>
      </rPr>
      <t xml:space="preserve">  Energy (R/kWh)</t>
    </r>
  </si>
  <si>
    <t>% Increase/Decrease</t>
  </si>
  <si>
    <t xml:space="preserve">MOGALE Implemented Tariffs        </t>
  </si>
  <si>
    <t xml:space="preserve">NERSA Approved Tariffs             </t>
  </si>
  <si>
    <t>Mogale City % Increase/Decrease</t>
  </si>
  <si>
    <t>MOGALE CITY LOCAL MUNICIPALITY</t>
  </si>
  <si>
    <t>2013/2014</t>
  </si>
  <si>
    <t>1245/m2</t>
  </si>
  <si>
    <t>17.51/m2</t>
  </si>
  <si>
    <t>R2694,84 (and thereafter R66,78 per day)</t>
  </si>
  <si>
    <t>Mogale City Approved Tariffs            Jul 2015</t>
  </si>
  <si>
    <t>2016/2017</t>
  </si>
  <si>
    <t>2015/16 NERSA APPROVED TARIFFS</t>
  </si>
  <si>
    <t xml:space="preserve">VACANT PROPERTIES </t>
  </si>
  <si>
    <t>REFUSE REMOVAL</t>
  </si>
  <si>
    <t>Removal of waste-domestic &amp; business by private contractors</t>
  </si>
  <si>
    <t>R2 857 (and thereafter R71 per day)</t>
  </si>
  <si>
    <t>R36 m3</t>
  </si>
  <si>
    <t>R9,997.92/m3 hardwood &amp; R4,427.89/m3 software</t>
  </si>
  <si>
    <t>R8,570/m3 hardwood &amp; R2,736/m3 softwood</t>
  </si>
  <si>
    <t>13% plants wholesale value with minimum deposit of R1,667.38</t>
  </si>
  <si>
    <t>R171.27 labour charge per hour + material cost</t>
  </si>
  <si>
    <t>20710.00 per day</t>
  </si>
  <si>
    <t>714.44 per day</t>
  </si>
  <si>
    <t>29 per hour</t>
  </si>
  <si>
    <t>842 per hour</t>
  </si>
  <si>
    <t>1 357 per day</t>
  </si>
  <si>
    <t>57 per hour</t>
  </si>
  <si>
    <t>258 p/h</t>
  </si>
  <si>
    <t>272 p/h</t>
  </si>
  <si>
    <t>314 p/h</t>
  </si>
  <si>
    <t>386p/h</t>
  </si>
  <si>
    <t>DAY VISITOR AREA AND LAPAS IN THE GAME RESERVE</t>
  </si>
  <si>
    <t>TREE REMOVAL COSTS (TREE MGMT &amp; CONSERVATION POLICY)</t>
  </si>
  <si>
    <t xml:space="preserve">ANNUAL FEES PAYABLE FOR RENTAL OF DAMS FOR SPORT/BOATS (Sec 4.1 Parks Bylaws) </t>
  </si>
  <si>
    <t>Centenery Dam (subject to Permit renewable every year)</t>
  </si>
  <si>
    <t>Monument Dam (subject to Permit renewable every year)</t>
  </si>
  <si>
    <t>DEVELOPMENT PLANNING</t>
  </si>
  <si>
    <t>1078+156/m2</t>
  </si>
  <si>
    <t>1143+165/m2</t>
  </si>
  <si>
    <t>1143+156/m2</t>
  </si>
  <si>
    <t>Licence Waste Transporters' License Reinstatement Rees</t>
  </si>
  <si>
    <t>Waste Transporters -Landfill tariff (applicable only to those charged for units they service) per month</t>
  </si>
  <si>
    <t xml:space="preserve">new tariff </t>
  </si>
  <si>
    <t>Resident of MCLM sorting waste at their household level per month (proof of household sorting required)</t>
  </si>
  <si>
    <t>Business Temporary Waste  Storage per month</t>
  </si>
  <si>
    <t xml:space="preserve">Buiding Rubble Kerbside Refundable (business) </t>
  </si>
  <si>
    <t xml:space="preserve">Buiding Rubble Kerbside Refundable (individual)  </t>
  </si>
  <si>
    <t>Kerbside fee (business)</t>
  </si>
  <si>
    <t>Kerbside fee (individual)</t>
  </si>
  <si>
    <t xml:space="preserve">Recycling, Buy Back Centres, Drop off &amp; Sorting Facilities per year (renewable) </t>
  </si>
  <si>
    <t>Public gathering sservice fee more than 100 people (refundable)</t>
  </si>
  <si>
    <t>Public gathering sservice fee more than 100 people (non refundable)</t>
  </si>
  <si>
    <t xml:space="preserve">Public gathering festivals service fee </t>
  </si>
  <si>
    <t>Call Back Service per service</t>
  </si>
  <si>
    <t xml:space="preserve">Hostel Waste Collection per month </t>
  </si>
  <si>
    <t>Print out for Landfill Transaction</t>
  </si>
  <si>
    <t>Every additional vehicle</t>
  </si>
  <si>
    <t xml:space="preserve">Re-issue of Waste Transporters' License </t>
  </si>
  <si>
    <t>Rand per cm of wood up to a stem diameter of 20cm</t>
  </si>
  <si>
    <t>Rand per cm of wood up to a stem diameter of 21-30cm</t>
  </si>
  <si>
    <t>Rand per cm of wood up to a stem diameter of 31-50cm</t>
  </si>
  <si>
    <t>Rand per cm of wood above a stem diameter of 51cm</t>
  </si>
  <si>
    <t>Purchase/ Lease of land/building</t>
  </si>
  <si>
    <t>Mothers for the Nation</t>
  </si>
  <si>
    <t>SASSA</t>
  </si>
  <si>
    <t>Manekelo Trading Project</t>
  </si>
  <si>
    <t>Reitumetse Sewing  Cooperative</t>
  </si>
  <si>
    <t>Bomme Emmang Cooperative</t>
  </si>
  <si>
    <t>Reka Dira Ka Bongwe</t>
  </si>
  <si>
    <t>Children First Cooperative</t>
  </si>
  <si>
    <t>Bokgoni Development</t>
  </si>
  <si>
    <t>Three months consumption</t>
  </si>
  <si>
    <t>Three months rental</t>
  </si>
  <si>
    <t>Domestic Refuse:Daily Removal per 240L container per month or part thereof</t>
  </si>
  <si>
    <t>Additional Sewerage for Kagiso/Musieville/Rietvallei/Lusaka/Ga-Mogale</t>
  </si>
  <si>
    <t>MOGALE approved Tariffs            Jul 2014</t>
  </si>
  <si>
    <t>Mogale City Approved Tariffs            Jul 2016</t>
  </si>
  <si>
    <t>2016-17 MLCM Approved TARIFFS</t>
  </si>
  <si>
    <t>2017/2018</t>
  </si>
  <si>
    <t>273,48 p/h</t>
  </si>
  <si>
    <t>288,32 p/h</t>
  </si>
  <si>
    <t>332,84 p/h</t>
  </si>
  <si>
    <t>409,16 p/h</t>
  </si>
  <si>
    <t>21952,6 per day</t>
  </si>
  <si>
    <t>R9084,2/m3 hardwood &amp; R2900,16 /m3 softwood</t>
  </si>
  <si>
    <t>13% plants wholesale value with minimum deposit of R1767,42</t>
  </si>
  <si>
    <t xml:space="preserve">756,84 per day </t>
  </si>
  <si>
    <t xml:space="preserve">1438,42 per day </t>
  </si>
  <si>
    <t xml:space="preserve">892,52 per day </t>
  </si>
  <si>
    <t>60,42 per hour</t>
  </si>
  <si>
    <t>30,74 per hour</t>
  </si>
  <si>
    <t>R181,55 labour charge per hour + material cost</t>
  </si>
  <si>
    <t>ANNEXURE D</t>
  </si>
  <si>
    <t>R38,16 m3</t>
  </si>
  <si>
    <t>Annual Waste Transporters' License Renewal Fees</t>
  </si>
  <si>
    <t>Waste License Holders Monthly Service Charge (Residential &amp; domestic)</t>
  </si>
  <si>
    <t>Waster License Holders Monthly Service Charge ( Bulk containers Business and commercial)</t>
  </si>
  <si>
    <t>Late Annual Waste Transporters' Licence Renewal Fees</t>
  </si>
  <si>
    <t>Schedule 3</t>
  </si>
  <si>
    <t>Ratio 1:25</t>
  </si>
  <si>
    <t>16/m2</t>
  </si>
  <si>
    <t>17/m2</t>
  </si>
  <si>
    <t>20/m2</t>
  </si>
  <si>
    <t>19/m2</t>
  </si>
  <si>
    <t xml:space="preserve">    Electricity (60%)</t>
  </si>
  <si>
    <t xml:space="preserve">    Water  (40%)</t>
  </si>
  <si>
    <t>Temporary standpipe connection to fire hydrant</t>
  </si>
  <si>
    <t>ENTERPRISE DEVELOPMENT</t>
  </si>
  <si>
    <t>2018/2019</t>
  </si>
  <si>
    <t>2017-18 NERSA APPROVED TARIFFS</t>
  </si>
  <si>
    <t>Other water related tariffs</t>
  </si>
  <si>
    <t xml:space="preserve">Tokens </t>
  </si>
  <si>
    <t>APPROVED 2017/2018</t>
  </si>
  <si>
    <t>ECONOMIC SERVICES DEVELOPMENT</t>
  </si>
  <si>
    <t>18/m2</t>
  </si>
  <si>
    <t>21/m2</t>
  </si>
  <si>
    <t>R3 028,42 (and thereafter R71 per day)</t>
  </si>
  <si>
    <t>R3 210,13 (and thereafter R71 per day)</t>
  </si>
  <si>
    <t>R40,45m3</t>
  </si>
  <si>
    <t>R11 215/m3 hardwood &amp; R4,978/m3 software</t>
  </si>
  <si>
    <t>R9 629/m3 hardwood &amp; R3 074/m3 softwood</t>
  </si>
  <si>
    <t>R10 597,79 /m3 hardwood &amp; R4 693,56 /m3 softwood</t>
  </si>
  <si>
    <t>13% plants wholesale value with minimum deposit of R1 873</t>
  </si>
  <si>
    <t>R192 labour charge per hour + material cost</t>
  </si>
  <si>
    <t>R290 p/h</t>
  </si>
  <si>
    <t>R306 p/h</t>
  </si>
  <si>
    <t>R353 p/h</t>
  </si>
  <si>
    <t>R434 p/h</t>
  </si>
  <si>
    <t>Schedule 4</t>
  </si>
  <si>
    <t>Indigents Households</t>
  </si>
  <si>
    <t xml:space="preserve">  1.2.          Life Line  (Poor Households)   (Conventional and Pre-Paid Metering)</t>
  </si>
  <si>
    <t xml:space="preserve"> temporary stand pipe prohibited</t>
  </si>
  <si>
    <t>Deleted</t>
  </si>
  <si>
    <t>Approved Indigents (free 6kl)</t>
  </si>
  <si>
    <t>Residential Water Tariffs</t>
  </si>
  <si>
    <t>1-6 kl</t>
  </si>
  <si>
    <t xml:space="preserve">  8.9.  Business &amp; Commercial Electricity tampering/by-pass/Vandilism/Theft of Meter (300 001kwh and above)</t>
  </si>
  <si>
    <t xml:space="preserve">EFFLUENT </t>
  </si>
  <si>
    <t>Residential 1</t>
  </si>
  <si>
    <t>Residential 2</t>
  </si>
  <si>
    <t>Residential 3</t>
  </si>
  <si>
    <t>Residential 4</t>
  </si>
  <si>
    <t>Business 1</t>
  </si>
  <si>
    <t>Business 2</t>
  </si>
  <si>
    <t>Business 3</t>
  </si>
  <si>
    <t xml:space="preserve">Schools, Churches, Government, Municipal Institutions </t>
  </si>
  <si>
    <t>Old aged homes, Hospital (medical facilities), Residences, Hostels</t>
  </si>
  <si>
    <t>Commercial, trade/Industrial   (Deemed effluent from water consumed= 85%)</t>
  </si>
  <si>
    <t>Additional Penalty (Effluent strength tariff = Sewerage tariff x (COD of the effluent discharged from the premises -600)/average COD of wastewater entering the WWTW)</t>
  </si>
  <si>
    <t xml:space="preserve">  8.10.  Penalties for tampering with Electrical Meter Installation.</t>
  </si>
  <si>
    <t xml:space="preserve">  8.11.  Penalties for making an Illegal Electrical connection.</t>
  </si>
  <si>
    <t xml:space="preserve">  8.12.  Vendors commission must be paid by the applicant.</t>
  </si>
  <si>
    <t>8.14  Illegal Removal of electricty consumption meter</t>
  </si>
  <si>
    <t>2018/19</t>
  </si>
  <si>
    <t>VAT Exclusive</t>
  </si>
  <si>
    <t>VAT Inclusive</t>
  </si>
  <si>
    <t xml:space="preserve">CORONATION PARK </t>
  </si>
  <si>
    <t>DAILY ENTRANCE FEE</t>
  </si>
  <si>
    <t>COMMENTS</t>
  </si>
  <si>
    <t>18yrs and above</t>
  </si>
  <si>
    <t>Scholar</t>
  </si>
  <si>
    <t>5yrs and above</t>
  </si>
  <si>
    <t>Children</t>
  </si>
  <si>
    <t>Younger than 5yrs- free entry</t>
  </si>
  <si>
    <t xml:space="preserve">SCHOOL TRIPS - Pre Booked </t>
  </si>
  <si>
    <t>High school</t>
  </si>
  <si>
    <t>Primary Schools</t>
  </si>
  <si>
    <t xml:space="preserve">Pre-School </t>
  </si>
  <si>
    <t>Up to 30 kids- R150 per group per day</t>
  </si>
  <si>
    <t>More than 30 kids- R200 per group per day</t>
  </si>
  <si>
    <t>ANNUAL MEMBERSHIP FEE (Unlimited Access)</t>
  </si>
  <si>
    <t>Annual membership is valid from January to December each year. Prorata fee will be calculated and charged when joining during the year and renewal expected in December of the same year for next year.</t>
  </si>
  <si>
    <t>Adults (Annual Membership)</t>
  </si>
  <si>
    <t>19yrs and above</t>
  </si>
  <si>
    <t>Senior Citizens (Annual Membership)</t>
  </si>
  <si>
    <t>Above 60yrs</t>
  </si>
  <si>
    <t>Scholar (Annual Membership)</t>
  </si>
  <si>
    <t>Above 3yrs and up to 18 Years</t>
  </si>
  <si>
    <t>Children (Annual Membership)</t>
  </si>
  <si>
    <t>Younger than 5yrs and to be accompanied by an adult</t>
  </si>
  <si>
    <t>RENTAL OF PARKS AND OPEN SPACES: (Special Events rate per day)</t>
  </si>
  <si>
    <t>Events related to sale and marketing of goods and services</t>
  </si>
  <si>
    <t>Sub-Letting of park space for stalls or market per day for profit taking events as per policy (per m2)</t>
  </si>
  <si>
    <t>Event with no exclusive Use of Park (All Parks excluding Coronation Park)</t>
  </si>
  <si>
    <t>Deposit (Refundable) for all parks and open space rental</t>
  </si>
  <si>
    <t>LAPA HIRE</t>
  </si>
  <si>
    <t>Lapa does not exist</t>
  </si>
  <si>
    <t>13% plants wholesale value with minimum deposit of</t>
  </si>
  <si>
    <t>Cutting of Trees</t>
  </si>
  <si>
    <t xml:space="preserve">GRASS CUTTING (Privately Owned Spaces) </t>
  </si>
  <si>
    <t>GRASS CUTTING (Privately Owned Spaces) per m2</t>
  </si>
  <si>
    <t>GENERAL COMMENTS</t>
  </si>
  <si>
    <t>All fees excludes electricity</t>
  </si>
  <si>
    <t>All fees excludes refundable deposit</t>
  </si>
  <si>
    <t>OUTDOOR ADVERTISING TARIFF STRUCTURE</t>
  </si>
  <si>
    <t>Signs for the sale,lease, show of and direction of property per Annum</t>
  </si>
  <si>
    <t xml:space="preserve">Trailer and Vehicular signs per month per trailer </t>
  </si>
  <si>
    <t>New Tariff</t>
  </si>
  <si>
    <t>Project and development advertising signs per sign</t>
  </si>
  <si>
    <r>
      <t>Permanent signs up to 6m</t>
    </r>
    <r>
      <rPr>
        <sz val="10"/>
        <color indexed="8"/>
        <rFont val="Calibri"/>
        <family val="2"/>
      </rPr>
      <t>²</t>
    </r>
    <r>
      <rPr>
        <sz val="10"/>
        <color indexed="8"/>
        <rFont val="Verdana"/>
        <family val="2"/>
      </rPr>
      <t xml:space="preserve"> on Council property</t>
    </r>
  </si>
  <si>
    <r>
      <t>1285+184/m</t>
    </r>
    <r>
      <rPr>
        <sz val="10"/>
        <rFont val="Calibri"/>
        <family val="2"/>
      </rPr>
      <t>²</t>
    </r>
  </si>
  <si>
    <t>Lodging of an appeal per appeal</t>
  </si>
  <si>
    <t>FINE FEE</t>
  </si>
  <si>
    <t>Fine per Trailer or vehicular advertising</t>
  </si>
  <si>
    <t>Storage Fee for Trailer and Vehicular advertising per sign per day</t>
  </si>
  <si>
    <t>New tariff</t>
  </si>
  <si>
    <t>SCHEDULE 4</t>
  </si>
  <si>
    <t>Emergencies: 011 010 1500</t>
  </si>
  <si>
    <t>Consumers can comment and query tariffs via Mogale City Electricity Help Desk:(011) 951 2440 (during the day)/ (011) 010 1500 (after hours)</t>
  </si>
  <si>
    <t>Consumers can comment and query tariffs via Mogale City Water Help Desk: (011) 668 0628 (during the day)/ (010) 010 1500 (after hours)</t>
  </si>
  <si>
    <t>email: watercomplaints@mogalecity.gov.za</t>
  </si>
  <si>
    <t>Business &amp; Commercial water tampering/by-pass/Vandilism/Theft of Meter (1-200kl)</t>
  </si>
  <si>
    <t>Business &amp; Commercial water tampering/by-pass/Vandilism/Theft of Meter (201-500kl)</t>
  </si>
  <si>
    <t>Business &amp; Commercial water tampering/by-pass/Vandilism/Theft of Meter (501-1000kl)</t>
  </si>
  <si>
    <t>Business &amp; Commercial water tampering/by-pass/Vandilism/Theft of Meter (1001 and above)</t>
  </si>
  <si>
    <t>Consumers can comment and query tariffs via Mogale City Call Centre: 0861664253(during working hours)/ (011) 010 1500 (after hours)</t>
  </si>
  <si>
    <t xml:space="preserve">Requesting landfill waste management license </t>
  </si>
  <si>
    <t xml:space="preserve">Annual Waste Transporters' License for the first 5 vehicles  </t>
  </si>
  <si>
    <t>Failure to Register as Waste Handling Facility or Storage per day (to be incoperated into municipal bills)</t>
  </si>
  <si>
    <t>Waste License Holders Service Charge per service point (Residential &amp; domestic)</t>
  </si>
  <si>
    <t>Illegal dumping removal fee</t>
  </si>
  <si>
    <t>Employee Parking- Underground Parking</t>
  </si>
  <si>
    <t xml:space="preserve">Employee Parking- Carpot </t>
  </si>
  <si>
    <t>ECONOMIC DEVELOPMENT SERVICES</t>
  </si>
  <si>
    <t>Business, industrial consumers , Private Schools &amp; Private Hospitals</t>
  </si>
  <si>
    <t xml:space="preserve">  8.6.  Business &amp; Commercial Electricty tampering/by-pass/Vandalism/Theft of Meter (1-10 000kwh)</t>
  </si>
  <si>
    <t xml:space="preserve">  8.7.  Business &amp; Commercial Electricity tampering/by-pass/Vandalism/Theft of Meter (10 001-30 000kwh)</t>
  </si>
  <si>
    <t xml:space="preserve">  8.8.  Business &amp; Commercial Electricity tampering/by-pass/Vandalism/Theft of Meter (30 001-300 000kwh)</t>
  </si>
  <si>
    <t xml:space="preserve">CREDIT CONTROL </t>
  </si>
  <si>
    <t>new tariff</t>
  </si>
  <si>
    <t>PUBLIC BENEFIT ORGANIZATION (Excluding Private Schools &amp; Private Hospitals)</t>
  </si>
  <si>
    <t>Cost Recovery Fee - Contractual Servicing (WfW): Labour charge per hour + material cost</t>
  </si>
  <si>
    <t>deleted all residential properties will be charged the same as additional sewerage tariff</t>
  </si>
  <si>
    <t>waste management services levy</t>
  </si>
  <si>
    <t>Waste License Holders Service Charge per service point ( Bulk containers Business and commercial)</t>
  </si>
  <si>
    <t>Request for drafting of an Engineering Services Agreement</t>
  </si>
  <si>
    <t>Request for written consent of Council</t>
  </si>
  <si>
    <t>Application for issuing a certificate in terms of Section 25 of the Division of Land Ordinance, 1986 (Ordinance 20 of 1986)</t>
  </si>
  <si>
    <t>Application for notarial tie of stands in terms of the Deeds Registry Act, 47 of 1937</t>
  </si>
  <si>
    <t>Application types that used to fall within the ambit of the Provincial Government have now been devolved to the Municipality.  These application fees have been benchmarked with Provincial Government to establish the current application fees, but was also benchmarked with other Municipalities to arrive at a fair cost.</t>
  </si>
  <si>
    <t>Free Basic Electricity will be dealt with as specified in the FBE Policy, as revised on an annual basis.</t>
  </si>
  <si>
    <t>This tariff is only applicable to properties used exclusively for household purposes.</t>
  </si>
  <si>
    <t>The registered indigent will receive the allocated 6 kl free basic water per month on a daily pro rata basis.</t>
  </si>
  <si>
    <t>Public Benefit Organizations, Non-Governmental Organizations and Cultural Organizations approved in terms of section 30 of the Income Tax Act 58 of 1962, read with items 1, 2 and 4 of the ninth Schedule to the Act; Welfare organizations registered in terms of the National Welfare Act, 1978 (Act No 100 of 1978), State Assisted Public Schools or Colleges, Public Hospitals and Churches.</t>
  </si>
  <si>
    <t>These tariffs apply to  the following uses: business, commercial, industrial, private school &amp; private hospitals.</t>
  </si>
  <si>
    <t>Indigent household – Owner of residential property, registered in terms of Council’s approved indigent policy, BE EXEMPTED from paying of property rates.</t>
  </si>
  <si>
    <t>Municipal – That non-trading services BE EXEMPTED from paying of property rates.</t>
  </si>
  <si>
    <t>In terms of Sections 2, 7, 8 and 14 of the Local Government: Municipal Property Rates Act 6 of 2004 ("the Act"), read with Sections 4(1)(c)(ii) and 11(3)(i) and 75A of the Local Government: Municipal Systems Act 32 of 2000, the following rates in the rand be levied for the financial year 1 July 2018 to 30 June 2019, on the market value of property or on the market value of a right in property within the area of jurisdiction of the Council as appearing in the valuation roll, in respect of the various categories of properties.</t>
  </si>
  <si>
    <t>Charges shall be levied in respect of each separate connection for water (as defined in the Water Supply By-laws of the Council). It is further noted that the tariffs effective to consumption as from 01 July 2018 and accounts as from those generated in July 2018 on a pro rata basis where applicable, will be levied.</t>
  </si>
  <si>
    <t>The 6kl of water that used to be free for all residents will only be free for indigents as of the 1 July 2018.</t>
  </si>
  <si>
    <t xml:space="preserve">Problems are experienced when a vehicle is found abandoned, when vehicles are parked causing obstruction for other traffic and vehicles parked on sidewalks endangering pedestrians. </t>
  </si>
  <si>
    <t>Rates to be levied shall become due and payable in twelve equal installments on fixed days for twelve consecutive months.</t>
  </si>
  <si>
    <t>Meters will be tested upon requests by consumers after payment of the above tariffs.</t>
  </si>
  <si>
    <t>Exemptions, reductions and rebates are granted to certain categories of property usage and/or property owners as defined in the Property Rates Policy.</t>
  </si>
  <si>
    <t>With a capacity of up to and including 80 A per phase.</t>
  </si>
  <si>
    <t>This tariff is available for all residential customers single-phase 230 V or multi-phase 400/230 V connections (excluding - bulk residential complexes, body corporate, etc.)</t>
  </si>
  <si>
    <t>This tariff is available for all indigent residential customers single-phase 230V connections (excluding - bulk residential complexes, body corporate, blocks of flats, etc.)</t>
  </si>
  <si>
    <t>This tariff is available for all business, mixed business and residential, commercial or industrial single-phase 230 V or multi-phase 400/230 V connections with a capacity of up to and including 150 A per phase or 100 kVA.</t>
  </si>
  <si>
    <t xml:space="preserve">This tariff is not available for medium and high voltage customers. </t>
  </si>
  <si>
    <t>This tariff will suit medium to high consumption small business customers.</t>
  </si>
  <si>
    <t>This tariff will suit low consumption residential customers.</t>
  </si>
  <si>
    <t>This tariff is not available for medium and high voltage customers.</t>
  </si>
  <si>
    <t>This tariff is based on the inclining block principle, that is, the more units used, the higher the rate becomes.</t>
  </si>
  <si>
    <t xml:space="preserve">    1.2.2     Fixed Charge</t>
  </si>
  <si>
    <t xml:space="preserve">    1.2.5.    Energy (R/kWh)</t>
  </si>
  <si>
    <t xml:space="preserve">    1.2.6.    Energy (R/kWh)</t>
  </si>
  <si>
    <t xml:space="preserve">    1.2.1     FREE Basic Electricity</t>
  </si>
  <si>
    <t xml:space="preserve">The Mogale city local municipality hereby, in terms of
Section 13 of the local government; municipal systems act
32 of 2000 and section 84(1)(p) of local government : municipal
Structures act, 117 of 1998, publishes the by-laws set forth
Hereinafter, which have been approved by the council in
Terms of section 11 and 12 of the said act:
</t>
  </si>
  <si>
    <t>“Adult” means any deceased person over the age of 12 years whose coffin will fit into the grave opening prescribed for adults in terms of section 18</t>
  </si>
  <si>
    <t>“Child” means any deceased person of the age of 12 years and under, whose coffin will fit into the grave opening prescribed for children in terms of section 18</t>
  </si>
  <si>
    <t>Effluent means any liquid other than sewage, whether or not containing matter in solution or suspension, which is discharged from any premises into a drainage work but does not include stormwater</t>
  </si>
  <si>
    <t>No person may consume, abstract or be supplied with water from the water supply system, or utilise the wastewater disposal system or any other sanitation services unless he or she has applied to the Municipality on the prescribed form for such services and such application has been agreed to by the Municipality.</t>
  </si>
  <si>
    <t>The Municipality or its authorised agent may authorise a temporary supply of water to be taken from one or more fire hydrants specified by it, subject to such conditions and for such period as may be generally prescribed or specifically imposed by it in respect of such supply.</t>
  </si>
  <si>
    <t>The tariff of charges for use of the swimming facility shall be determined from time to time by Council as per the Tariff Policy/ By laws</t>
  </si>
  <si>
    <t>The Municipal Manager hereby publishes in terms of Section 13 of the Local Government Municipal Systems Act 32 of 2000 the Swimming Pool By-Laws set forth hereinafter, which are duly adopted by Council in terms of Sections 11 and 12 of the said Act</t>
  </si>
  <si>
    <r>
      <t>Charges shall be levied in respect of each discharge point for sewage</t>
    </r>
    <r>
      <rPr>
        <b/>
        <i/>
        <sz val="10"/>
        <color indexed="10"/>
        <rFont val="Verdana"/>
        <family val="2"/>
      </rPr>
      <t xml:space="preserve"> </t>
    </r>
    <r>
      <rPr>
        <b/>
        <i/>
        <sz val="10"/>
        <rFont val="Verdana"/>
        <family val="2"/>
      </rPr>
      <t>(as defined in the Waste Water By-laws of the Council) whether such discharge point is a drain or the Council’s sewage disposal system. It is further noted that the tariffs effective to consumption as from 01 July 2018 and accounts as from those generated in July 2018 on a pro rata basis where applicable, will be levied.</t>
    </r>
  </si>
  <si>
    <t>Council would like to reiterate the obligations of ratepayers and service users to pay for assessment rates and direct usage of services provided. Where this does not occur and individuals have not registered for indigent status, services will be discontinued and property will be attached to recover any outstanding amount</t>
  </si>
  <si>
    <t>This tariff allows residential customers, typically with a consumption greater than 1 000 kWh per month to benefit from lower energy costs should they be able to shift their loads away from peak periods and towards standard/offpeak periods.</t>
  </si>
  <si>
    <t>This tariff is available for all residential customers single-phase 230 V or multi-phase 400/230 V connections for bulk residential complexes, body corporate, blocks of flats, etc, that are used and zoned exclusively for residential purposes.</t>
  </si>
  <si>
    <t>This tariff, with the exception of the Resellers section “bulk residential”, is not available for medium and high voltage customers.</t>
  </si>
  <si>
    <t>This tariff will suit medium to high consumption residential customers</t>
  </si>
  <si>
    <t>This tariff is available for existing bulk supplies at any voltage.</t>
  </si>
  <si>
    <t>This tariff will suit large business and industrial customers.</t>
  </si>
  <si>
    <t>This tariff will suit small to medium size business and industrial customers.</t>
  </si>
  <si>
    <t>This tariff is available for bulk supplies at any voltage and with a capacity of &gt; 25kVA</t>
  </si>
  <si>
    <t>This tariff will be  for street lights and area lights (high masts to be treated as Street Lights) and traffic light consumption.</t>
  </si>
  <si>
    <t>Animals for both removal and disposal is subject to a formal letter from a Veterinary professional stating that the animal has not died from an infectious or contagious disease. The letter must identify the animal by means of a number or code and must correspond with the code/number on the formal letter. Animals for removal and disposal (cats/dogs) must be placed in clearly marked plastic bags. Large animals must be brought to the landfill site at own cost, the tariff is for disposal only</t>
  </si>
  <si>
    <t>In terms of paragraph 3 of the Consumer Agreement Policy, every application for municipal service has to be accompanied by a deposit.</t>
  </si>
  <si>
    <t>Consumer deposit is payable in respect of the following metered services:                                                                    -Electricity services.                                                                  -Water services                                                                  Any other services determined by Council.</t>
  </si>
  <si>
    <t>If a consumer of services fails or refuses to comply with a request to make a deposit, any municipal service to such customer may be terminated until the Chief Financial Officer certifies that the services agreement has been entered into and the deposit is paid in full</t>
  </si>
  <si>
    <t>Deposit raised when entering into services agreement is to be paid in full prior to services being rendered.</t>
  </si>
  <si>
    <t>BUILDING DEVELOPMENT MANAGEMENT</t>
  </si>
  <si>
    <t>Application for Boundary wall for Erf/Stand - 1001 TO 10000 m²</t>
  </si>
  <si>
    <t>Application for Boundary wall for Erf/Stand - 10001 TO 20000 m²</t>
  </si>
  <si>
    <t>Fine - Building without approved building plans</t>
  </si>
  <si>
    <t>1%-building Value</t>
  </si>
  <si>
    <t>Charges shall be levied on and recovered from all consumers of the Councils Waste Management Services who utilized / requested the Councils Waste Management Services, such consumers shall include the owners and occupiers of the premises in respect of which the services are rendered and such charges shall be recoverable from such owners and occupiers jointly and severally. "Occupiers" and Owners as intended herein shall be as defined in the Waste Management By-laws of the Council.</t>
  </si>
  <si>
    <t>The Municipality shall ensure that its tariffs are uniformly and fairly applied throughout the Municipal jurisdiction</t>
  </si>
  <si>
    <t>In terms of section 74 and 75 of the Local Government : Municipal Systems Act, 2000, and Regulation 317 of the National Road Traffic Act 93 of 1996, the Council is authorized to levy fees, charges and tariffs in respect of any function or services of the Municipality, in this instance, Public Safety services.</t>
  </si>
  <si>
    <t>Significant to indicate is that the implementation of the Public Safety Policy will be in line with the principles stipulated in Section 74 (2) of the Local Government: Municipal systems Act, 2000. Where the Municipality chooses to differentiate amongst various categories of service users, such differentiation will not be based on nor will it amount to unfair discrimination.</t>
  </si>
  <si>
    <t>Pre-paid water token</t>
  </si>
  <si>
    <t>Pre-paid User Interface</t>
  </si>
  <si>
    <t>Installation of water lines</t>
  </si>
  <si>
    <t>APPLICATION FEES</t>
  </si>
  <si>
    <t>PLACES OF PUBLIC WORSHIP</t>
  </si>
  <si>
    <t>EXEMPTED</t>
  </si>
  <si>
    <t>COMMERCIAL (Including Private Schools &amp; Private Hospitals)</t>
  </si>
  <si>
    <t>High school trips only - per person</t>
  </si>
  <si>
    <t>Primary School trips only - per person</t>
  </si>
  <si>
    <t>Obstructed water meters</t>
  </si>
  <si>
    <t>By-passed water meters/Illegal connections</t>
  </si>
  <si>
    <t>Removed/theft of water meters</t>
  </si>
  <si>
    <t xml:space="preserve">  8.4.  Penalties for tampering/Vandalizing/Theft/Illegal Removal of Electrical Meter Installation.</t>
  </si>
  <si>
    <t xml:space="preserve">  8.13.  Vandalized/Damaged meter/Stolen - Full cost plus 10% for the repair of damaged equipment plus the relocation </t>
  </si>
  <si>
    <t>APPROVED 2018/2019</t>
  </si>
  <si>
    <t>2018-2019 MLCM APPROVED TARIFFS</t>
  </si>
  <si>
    <t>Non Residents</t>
  </si>
  <si>
    <t>2019/2020</t>
  </si>
  <si>
    <t>12,2%</t>
  </si>
  <si>
    <t>R5000+220m²</t>
  </si>
  <si>
    <t>R7000+220/m²</t>
  </si>
  <si>
    <t>2019-2020</t>
  </si>
  <si>
    <t>2020/2021</t>
  </si>
  <si>
    <t>2021/2022</t>
  </si>
  <si>
    <t>Mogale City Approved Tariffs            July 2017</t>
  </si>
  <si>
    <t>Mogale City Approved Tariffs  July 2018/2019</t>
  </si>
  <si>
    <t>Mogale City Approved Tariffs  July 2017/2018</t>
  </si>
  <si>
    <t>0 – 350 m2</t>
  </si>
  <si>
    <t>Bio-Diversity- Refers to the optimum level of species diversity that will naturally occur in any habitat for the sustainability of natural ecosystems. The effective management of Bio-Diversity ensures that not a single species or natural feature’s future existence in any habitat is compromised through human interference. It involves landscaping and management of key transport corridors and improvements to parks, sports and recreational facilities.</t>
  </si>
  <si>
    <t>1-200kl</t>
  </si>
  <si>
    <r>
      <t>Permanent signs up to 6m</t>
    </r>
    <r>
      <rPr>
        <sz val="10"/>
        <color indexed="8"/>
        <rFont val="Calibri"/>
        <family val="2"/>
      </rPr>
      <t>²</t>
    </r>
    <r>
      <rPr>
        <sz val="10"/>
        <color indexed="8"/>
        <rFont val="Verdana"/>
        <family val="2"/>
      </rPr>
      <t xml:space="preserve"> (private property)</t>
    </r>
  </si>
  <si>
    <r>
      <t>Advertising hoardings larger than 6m</t>
    </r>
    <r>
      <rPr>
        <b/>
        <sz val="10"/>
        <color indexed="10"/>
        <rFont val="Calibri"/>
        <family val="2"/>
      </rPr>
      <t>²</t>
    </r>
    <r>
      <rPr>
        <b/>
        <sz val="10"/>
        <color indexed="10"/>
        <rFont val="Verdana"/>
        <family val="2"/>
      </rPr>
      <t xml:space="preserve"> (private property)</t>
    </r>
  </si>
  <si>
    <r>
      <t>1212+175/m</t>
    </r>
    <r>
      <rPr>
        <sz val="10"/>
        <rFont val="Calibri"/>
        <family val="2"/>
      </rPr>
      <t>²</t>
    </r>
  </si>
  <si>
    <r>
      <t>1212+165/m</t>
    </r>
    <r>
      <rPr>
        <sz val="10"/>
        <rFont val="Calibri"/>
        <family val="2"/>
      </rPr>
      <t>²</t>
    </r>
  </si>
  <si>
    <r>
      <t>Application for Boundary wall for Erf/Stand less than 1000 m</t>
    </r>
    <r>
      <rPr>
        <sz val="10"/>
        <rFont val="Calibri"/>
        <family val="2"/>
      </rPr>
      <t>²</t>
    </r>
  </si>
  <si>
    <r>
      <t>Application for Boundary wall for Erf/Stand - 20001 TO 40000 m</t>
    </r>
    <r>
      <rPr>
        <sz val="10"/>
        <rFont val="Calibri"/>
        <family val="2"/>
      </rPr>
      <t>²</t>
    </r>
  </si>
  <si>
    <r>
      <t>Application for Boundary wall for Erf/Stand - 40001 m</t>
    </r>
    <r>
      <rPr>
        <sz val="10"/>
        <rFont val="Calibri"/>
        <family val="2"/>
      </rPr>
      <t>² and more</t>
    </r>
  </si>
  <si>
    <r>
      <t>Permanent signs larger than 6m</t>
    </r>
    <r>
      <rPr>
        <b/>
        <sz val="10"/>
        <color indexed="10"/>
        <rFont val="Calibri"/>
        <family val="2"/>
      </rPr>
      <t>²</t>
    </r>
    <r>
      <rPr>
        <b/>
        <sz val="10"/>
        <color indexed="10"/>
        <rFont val="Verdana"/>
        <family val="2"/>
      </rPr>
      <t xml:space="preserve"> on Council property</t>
    </r>
  </si>
  <si>
    <r>
      <t>1212+174/m</t>
    </r>
    <r>
      <rPr>
        <b/>
        <sz val="10"/>
        <color indexed="10"/>
        <rFont val="Calibri"/>
        <family val="2"/>
      </rPr>
      <t>²</t>
    </r>
  </si>
  <si>
    <r>
      <t>1285+184/m</t>
    </r>
    <r>
      <rPr>
        <b/>
        <sz val="10"/>
        <color indexed="10"/>
        <rFont val="Calibri"/>
        <family val="2"/>
      </rPr>
      <t>²</t>
    </r>
  </si>
  <si>
    <t>TARIFF STRUCTURE-BUILDING PLANS SUBMISSION</t>
  </si>
  <si>
    <t>R5000+220/m²</t>
  </si>
  <si>
    <t>22/m2</t>
  </si>
  <si>
    <t>1285+184/m²</t>
  </si>
  <si>
    <t>Issue of Temporary occupancy Permit</t>
  </si>
  <si>
    <t>Section 7(6) Approvals Council projects</t>
  </si>
  <si>
    <t>Section 7(6) Approvals (All other developments)</t>
  </si>
  <si>
    <t>10% of submission cost</t>
  </si>
  <si>
    <t>HUMAN SETTLEMENT AND REAL ESTATE</t>
  </si>
  <si>
    <t>REAL ESTATE TARIFF STRUCTURE</t>
  </si>
  <si>
    <t>LEASES</t>
  </si>
  <si>
    <r>
      <t>Leases and encroachments more than 1m</t>
    </r>
    <r>
      <rPr>
        <sz val="10"/>
        <color indexed="10"/>
        <rFont val="Calibri"/>
        <family val="2"/>
      </rPr>
      <t>²</t>
    </r>
    <r>
      <rPr>
        <sz val="10"/>
        <color indexed="10"/>
        <rFont val="Verdana"/>
        <family val="2"/>
      </rPr>
      <t xml:space="preserve"> over property boundary or smaller than 50m</t>
    </r>
    <r>
      <rPr>
        <sz val="10"/>
        <color indexed="10"/>
        <rFont val="Calibri"/>
        <family val="2"/>
      </rPr>
      <t>² per month</t>
    </r>
  </si>
  <si>
    <r>
      <t>R60/m</t>
    </r>
    <r>
      <rPr>
        <sz val="10"/>
        <color indexed="10"/>
        <rFont val="Calibri"/>
        <family val="2"/>
      </rPr>
      <t>²</t>
    </r>
  </si>
  <si>
    <r>
      <t>Leases and encroachments more than 50m</t>
    </r>
    <r>
      <rPr>
        <sz val="10"/>
        <color indexed="10"/>
        <rFont val="Calibri"/>
        <family val="2"/>
      </rPr>
      <t>²</t>
    </r>
    <r>
      <rPr>
        <sz val="10"/>
        <color indexed="10"/>
        <rFont val="Verdana"/>
        <family val="2"/>
      </rPr>
      <t xml:space="preserve"> over property boundary or smaller than 200m</t>
    </r>
    <r>
      <rPr>
        <sz val="10"/>
        <color indexed="10"/>
        <rFont val="Calibri"/>
        <family val="2"/>
      </rPr>
      <t>²  per month</t>
    </r>
  </si>
  <si>
    <r>
      <t>R80/m</t>
    </r>
    <r>
      <rPr>
        <sz val="10"/>
        <color indexed="10"/>
        <rFont val="Calibri"/>
        <family val="2"/>
      </rPr>
      <t>²</t>
    </r>
  </si>
  <si>
    <r>
      <t>Leases and encroachments more than 200m</t>
    </r>
    <r>
      <rPr>
        <sz val="10"/>
        <color indexed="10"/>
        <rFont val="Calibri"/>
        <family val="2"/>
      </rPr>
      <t>²</t>
    </r>
    <r>
      <rPr>
        <sz val="10"/>
        <color indexed="10"/>
        <rFont val="Verdana"/>
        <family val="2"/>
      </rPr>
      <t xml:space="preserve"> per month</t>
    </r>
  </si>
  <si>
    <r>
      <t>R100/m</t>
    </r>
    <r>
      <rPr>
        <sz val="10"/>
        <color indexed="10"/>
        <rFont val="Calibri"/>
        <family val="2"/>
      </rPr>
      <t>²</t>
    </r>
  </si>
  <si>
    <t>Class 1 -</t>
  </si>
  <si>
    <t>Class 2 -</t>
  </si>
  <si>
    <t>Class 3 -</t>
  </si>
  <si>
    <t xml:space="preserve">Class 4 &amp; 5 - </t>
  </si>
  <si>
    <r>
      <t>1. Fixed Monthly rental payable in arreas per m</t>
    </r>
    <r>
      <rPr>
        <b/>
        <sz val="10"/>
        <color indexed="10"/>
        <rFont val="Calibri"/>
        <family val="2"/>
      </rPr>
      <t>²</t>
    </r>
    <r>
      <rPr>
        <b/>
        <sz val="7.8"/>
        <color indexed="10"/>
        <rFont val="Verdana"/>
        <family val="2"/>
      </rPr>
      <t xml:space="preserve"> of the total advertisement area of each sign according to road classification:</t>
    </r>
  </si>
  <si>
    <t xml:space="preserve">Class 4 &amp;5 - </t>
  </si>
  <si>
    <t>2. Percentage income payable in arrears per advertisement:</t>
  </si>
  <si>
    <t>Super, Large, Small billboards and electronic signs</t>
  </si>
  <si>
    <t>20% of the gross income received by the media owner from the advertiser</t>
  </si>
  <si>
    <r>
      <t xml:space="preserve">Undefined advertising signs  </t>
    </r>
    <r>
      <rPr>
        <sz val="10"/>
        <color indexed="10"/>
        <rFont val="Calibri"/>
        <family val="2"/>
      </rPr>
      <t>≥ 4,5m²</t>
    </r>
  </si>
  <si>
    <t>Sky, roof and flat signs</t>
  </si>
  <si>
    <t>Signs painted on walls and roofs and mural advertisements</t>
  </si>
  <si>
    <t>Landscape advertisements</t>
  </si>
  <si>
    <t>Advertising on bridges, boundary walls and fences</t>
  </si>
  <si>
    <t>Advertising on ground level</t>
  </si>
  <si>
    <t xml:space="preserve">Service facility signs in road reserve </t>
  </si>
  <si>
    <t>Gantry and construction site advertising signs and projecting signs overhanging council land</t>
  </si>
  <si>
    <t>Standard lease agreements preparation</t>
  </si>
  <si>
    <t xml:space="preserve">          - 1st applications (3 months)</t>
  </si>
  <si>
    <t xml:space="preserve">          - 2nd application (3 months)</t>
  </si>
  <si>
    <t xml:space="preserve">          - 3rd application (3 months)</t>
  </si>
  <si>
    <t>PROPERTY SALES: ADMIN FEES</t>
  </si>
  <si>
    <r>
      <t xml:space="preserve">Value in terms of purchase price  </t>
    </r>
    <r>
      <rPr>
        <sz val="10"/>
        <color indexed="10"/>
        <rFont val="Calibri"/>
        <family val="2"/>
      </rPr>
      <t xml:space="preserve">≤ </t>
    </r>
    <r>
      <rPr>
        <sz val="7.8"/>
        <color indexed="10"/>
        <rFont val="Verdana"/>
        <family val="2"/>
      </rPr>
      <t>R300 000</t>
    </r>
  </si>
  <si>
    <r>
      <t xml:space="preserve">Value in terms of purchase price  </t>
    </r>
    <r>
      <rPr>
        <sz val="10"/>
        <color indexed="10"/>
        <rFont val="Calibri"/>
        <family val="2"/>
      </rPr>
      <t xml:space="preserve">˃ </t>
    </r>
    <r>
      <rPr>
        <sz val="7.8"/>
        <color indexed="10"/>
        <rFont val="Verdana"/>
        <family val="2"/>
      </rPr>
      <t>R301 00</t>
    </r>
  </si>
  <si>
    <r>
      <t xml:space="preserve">Value in terms of purchase price  </t>
    </r>
    <r>
      <rPr>
        <sz val="10"/>
        <color indexed="10"/>
        <rFont val="Calibri"/>
        <family val="2"/>
      </rPr>
      <t xml:space="preserve">˃ </t>
    </r>
    <r>
      <rPr>
        <sz val="7.8"/>
        <color indexed="10"/>
        <rFont val="Verdana"/>
        <family val="2"/>
      </rPr>
      <t>R1  000 000</t>
    </r>
  </si>
  <si>
    <r>
      <t xml:space="preserve">Value in terms of purchase price  </t>
    </r>
    <r>
      <rPr>
        <sz val="10"/>
        <color indexed="10"/>
        <rFont val="Calibri"/>
        <family val="2"/>
      </rPr>
      <t xml:space="preserve">˃ </t>
    </r>
    <r>
      <rPr>
        <sz val="7.8"/>
        <color indexed="10"/>
        <rFont val="Verdana"/>
        <family val="2"/>
      </rPr>
      <t>R5 000 000</t>
    </r>
  </si>
  <si>
    <t>Sale agreement  preparation  fee  (No charge, to be paid by the applicant as part of conveyancing costs)</t>
  </si>
  <si>
    <t>Occupying Municipal land without pemission</t>
  </si>
  <si>
    <t>NEW TARRIFF</t>
  </si>
  <si>
    <t>R63/m²</t>
  </si>
  <si>
    <t>R84/m²</t>
  </si>
  <si>
    <t>R106/m²</t>
  </si>
  <si>
    <t>R67/m²</t>
  </si>
  <si>
    <t>R90/m²</t>
  </si>
  <si>
    <t>R112/m²</t>
  </si>
  <si>
    <t>R 64 per day</t>
  </si>
  <si>
    <t>R 23 270 per day</t>
  </si>
  <si>
    <t>R 802 per day</t>
  </si>
  <si>
    <t>R 1 525 per day</t>
  </si>
  <si>
    <t>R 946 per day</t>
  </si>
  <si>
    <t>R 33 per day</t>
  </si>
  <si>
    <t>R 24 666  per day</t>
  </si>
  <si>
    <t>R 850  per day</t>
  </si>
  <si>
    <t>R 1 617  per day</t>
  </si>
  <si>
    <t>R 1 003  per day</t>
  </si>
  <si>
    <t>R 35  per day</t>
  </si>
  <si>
    <t>R 68 per day</t>
  </si>
  <si>
    <t>R 26 146 per day</t>
  </si>
  <si>
    <t>R 901 per day</t>
  </si>
  <si>
    <t>R 1 713 per day</t>
  </si>
  <si>
    <t>R 1 063  per day</t>
  </si>
  <si>
    <t>R 37  per day</t>
  </si>
  <si>
    <t>R 72  per day</t>
  </si>
  <si>
    <t>R 27 715  per day</t>
  </si>
  <si>
    <t>R 955  per day</t>
  </si>
  <si>
    <t>R 1816  per day</t>
  </si>
  <si>
    <t>R 1 127</t>
  </si>
  <si>
    <t>R 39  per day</t>
  </si>
  <si>
    <t>R 76  per day</t>
  </si>
  <si>
    <t>R307 p/h</t>
  </si>
  <si>
    <t>R324 p/h</t>
  </si>
  <si>
    <t>R374 p/h</t>
  </si>
  <si>
    <t>R460 p/h</t>
  </si>
  <si>
    <t>R326 p/h</t>
  </si>
  <si>
    <t>R344 p/h</t>
  </si>
  <si>
    <t>R397 p/h</t>
  </si>
  <si>
    <t>R488 p/h</t>
  </si>
  <si>
    <t>R345 p/h</t>
  </si>
  <si>
    <t>R364 p/h</t>
  </si>
  <si>
    <t>R420 p/h</t>
  </si>
  <si>
    <t>R516 p/h</t>
  </si>
  <si>
    <t>COMMUNITY DEVELOPMENT SERVICES</t>
  </si>
  <si>
    <t>CORPORATE SUPPORT SERVICES</t>
  </si>
  <si>
    <t xml:space="preserve">CORPORATE ADMINISTRATION </t>
  </si>
  <si>
    <t>Muncipal Parking for Employees</t>
  </si>
  <si>
    <t>new tariff introduced</t>
  </si>
  <si>
    <t>&gt;200kl + above</t>
  </si>
  <si>
    <t>Other consumers: Government Schools, NGO's and Public Hospitals (Excluding Private Schools &amp; Private Hospitals)</t>
  </si>
  <si>
    <t>Basic Charges Apply to all properties</t>
  </si>
  <si>
    <t>351 - 1000 m2</t>
  </si>
  <si>
    <t>1001 – 1400 m2</t>
  </si>
  <si>
    <t>&gt; 1401 m2 + above</t>
  </si>
  <si>
    <t xml:space="preserve">Additional Levy Residential </t>
  </si>
  <si>
    <t xml:space="preserve"> Levy Business / Industries / Hotel/ Private Hospital/ Private Schools, additional sewage prior year to date average kl usage/months</t>
  </si>
  <si>
    <t>Government School , NGO, Public Hospital Consumer, additional sewage prior year to date average kl usage/months</t>
  </si>
  <si>
    <t>MINING</t>
  </si>
  <si>
    <t>-</t>
  </si>
  <si>
    <t>DEVELOPERS ACCOUNT REBATE</t>
  </si>
  <si>
    <t>R3 402.70 (and thereafter R71 per day)</t>
  </si>
  <si>
    <t>R3 606.90(and thereafter R71 per day)</t>
  </si>
  <si>
    <t>R3 823.30(and thereafter R71 per day)</t>
  </si>
  <si>
    <t>Other consumers:Government Schools, NGO's and Hospitals Per kl (Excluding Private Schools &amp; Private Hospitals)</t>
  </si>
  <si>
    <t>Churches</t>
  </si>
  <si>
    <t>Book Fees: for filming and formal photographic sessions of interior or exterior - Weekdays (07h30-16h00)</t>
  </si>
  <si>
    <t>Book Fees: for filming and formal photographic sessions of interior or exterior - Weekdays (16h30 - till late)</t>
  </si>
  <si>
    <t>Book Fees: for filming and formal photographic sessions of interior or exterior - Weekdays (07h30 -16h00)</t>
  </si>
  <si>
    <t>Book Fees: for filming and formal photographic sessions of interior or exterior - Weekdays (16:30 - till late )</t>
  </si>
  <si>
    <t>540 p/h</t>
  </si>
  <si>
    <t>572 p/h</t>
  </si>
  <si>
    <t>450 p/h</t>
  </si>
  <si>
    <t>477 p/h</t>
  </si>
  <si>
    <t>506 p/h</t>
  </si>
  <si>
    <t>470 p/h</t>
  </si>
  <si>
    <t>498 p/h</t>
  </si>
  <si>
    <t>528 p/h</t>
  </si>
  <si>
    <t>520 p/h</t>
  </si>
  <si>
    <t>551 p/h</t>
  </si>
  <si>
    <t>584 p/h</t>
  </si>
  <si>
    <t>606 p/h</t>
  </si>
  <si>
    <t>Sub-Letting of park space for business  purpose (income generating) per months as per policy (per m2)</t>
  </si>
  <si>
    <r>
      <rPr>
        <b/>
        <sz val="10"/>
        <rFont val="Verdana"/>
        <family val="2"/>
      </rPr>
      <t xml:space="preserve">SPECIAL EVENTS IN PARKS AND OPEN SPACES for e.g. Musical Concerts, fun fair, market day, etc). 
Formula :- </t>
    </r>
    <r>
      <rPr>
        <sz val="10"/>
        <rFont val="Verdana"/>
        <family val="2"/>
      </rPr>
      <t xml:space="preserve">(Park Use Rights Tarrif + R500 per every 1000 people) (e.g. 2000 people attending:R4500 + R500 + R500 = R5 500).  
</t>
    </r>
    <r>
      <rPr>
        <b/>
        <sz val="10"/>
        <rFont val="Verdana"/>
        <family val="2"/>
      </rPr>
      <t>Note: Between 300 and 999 is counted as a thousand. ALL TARRIFS EXCLUDES ELECTRICITY</t>
    </r>
    <r>
      <rPr>
        <sz val="10"/>
        <rFont val="Verdana"/>
        <family val="2"/>
      </rPr>
      <t xml:space="preserve">
</t>
    </r>
    <r>
      <rPr>
        <b/>
        <sz val="10"/>
        <rFont val="Verdana"/>
        <family val="2"/>
      </rPr>
      <t xml:space="preserve">
</t>
    </r>
  </si>
  <si>
    <t>EXCLUSIVE USE OF PARK - INCOME GENERATING</t>
  </si>
  <si>
    <t>1000 to 2000 people expected</t>
  </si>
  <si>
    <t>Between 2000 and 5000 people expected</t>
  </si>
  <si>
    <t>&gt; than 5000 people expected</t>
  </si>
  <si>
    <t>NO EXCLUSIVE USE RIGHTS - INCOME GENERATING</t>
  </si>
  <si>
    <t>For no income generating events, charge venue fee only</t>
  </si>
  <si>
    <t>Between 500 and 1000 people expected</t>
  </si>
  <si>
    <t>Between 1000 to 2000 people expected</t>
  </si>
  <si>
    <t>Standard tarrif</t>
  </si>
  <si>
    <t>KRUGERSDORP GAME RESERVE TARRIFS</t>
  </si>
  <si>
    <t>MAIN ENTRANCE GATE HOUSE (Game reserve-KGR)</t>
  </si>
  <si>
    <t>Adults pp</t>
  </si>
  <si>
    <t>Children under 12</t>
  </si>
  <si>
    <t>Pensioners pp</t>
  </si>
  <si>
    <t>Mountain Bike pp</t>
  </si>
  <si>
    <t>School groups &amp; special needs people</t>
  </si>
  <si>
    <t>GAME DRIVES (2 HOURS)</t>
  </si>
  <si>
    <t>Day game drive (40 people capacity)</t>
  </si>
  <si>
    <t>Adults  pp</t>
  </si>
  <si>
    <t>Children under 12 pp</t>
  </si>
  <si>
    <t>Night game drive (40 people capacity)</t>
  </si>
  <si>
    <t>LODGE</t>
  </si>
  <si>
    <t>2 Bed Chalets  (22 of them)</t>
  </si>
  <si>
    <t>4 Bed Chalets (4 of them)</t>
  </si>
  <si>
    <t>2 bed Rondavels (12 of them) per room per night</t>
  </si>
  <si>
    <t>CONFERENCE CENTRE/ VENUE HIRE</t>
  </si>
  <si>
    <t>Spurwing (up to 250 people capacity)</t>
  </si>
  <si>
    <t>Moorhen (up to 50 capacity)</t>
  </si>
  <si>
    <t>Kingfisher(up to 10 people capacity)</t>
  </si>
  <si>
    <t>Yellow- bill (up to 100 people capacity)</t>
  </si>
  <si>
    <t>BIODIVERSITY MANAGEMENT DIVISION</t>
  </si>
  <si>
    <t>Non Profit Organisation with no sales</t>
  </si>
  <si>
    <t>R43 per m2 per month</t>
  </si>
  <si>
    <t>DAY VISITORS - VENUE LAPAS</t>
  </si>
  <si>
    <t>4 Lapas (total of 350 people capacity)</t>
  </si>
  <si>
    <t>Lapa hire</t>
  </si>
  <si>
    <t>Entry fee per adult</t>
  </si>
  <si>
    <t>Children under 12 years</t>
  </si>
  <si>
    <t>CARARVAN PARK &amp; CAMPING SITE</t>
  </si>
  <si>
    <t>Weekdays (Mon-Thu) per stand per day</t>
  </si>
  <si>
    <t>Weekend (Frid-Sat) per stand per day</t>
  </si>
  <si>
    <t>Extra person and extrs vehicle per night</t>
  </si>
  <si>
    <t>Pensioners less 20 %</t>
  </si>
  <si>
    <t xml:space="preserve">Public Holiday and long weekend per stand, per day </t>
  </si>
  <si>
    <r>
      <rPr>
        <sz val="10"/>
        <color indexed="10"/>
        <rFont val="Verdana"/>
        <family val="2"/>
      </rPr>
      <t>R3 500 venue tarrif + expected No of people fee</t>
    </r>
  </si>
  <si>
    <r>
      <rPr>
        <sz val="10"/>
        <color indexed="10"/>
        <rFont val="Verdana"/>
        <family val="2"/>
      </rPr>
      <t>R4 500 venue tarrif + expected No of people fee</t>
    </r>
  </si>
  <si>
    <r>
      <rPr>
        <sz val="10"/>
        <color indexed="10"/>
        <rFont val="Verdana"/>
        <family val="2"/>
      </rPr>
      <t>R8 500 venue tarrif + expected No of people fee</t>
    </r>
  </si>
  <si>
    <r>
      <rPr>
        <sz val="10"/>
        <color indexed="10"/>
        <rFont val="Verdana"/>
        <family val="2"/>
      </rPr>
      <t>R4 500 exclusive use rights Tarrif + expected No of people fee</t>
    </r>
  </si>
  <si>
    <r>
      <rPr>
        <sz val="10"/>
        <color indexed="10"/>
        <rFont val="Verdana"/>
        <family val="2"/>
      </rPr>
      <t>R6 500 exclusive use rights Tarrif + expected No of people fee</t>
    </r>
  </si>
  <si>
    <r>
      <rPr>
        <sz val="10"/>
        <color indexed="10"/>
        <rFont val="Verdana"/>
        <family val="2"/>
      </rPr>
      <t>R12 500 exclusive use rights Tarrif + expected No of people fee</t>
    </r>
  </si>
  <si>
    <t>Special Consent-Clause 14 Krugerdorp TPS 1980  read with Section 45 of SPLUMA Bylaw 2018</t>
  </si>
  <si>
    <r>
      <t>Special Consent-Clause 7 -</t>
    </r>
    <r>
      <rPr>
        <b/>
        <sz val="10"/>
        <rFont val="Verdana"/>
        <family val="2"/>
      </rPr>
      <t>Peri-Urban Areas</t>
    </r>
    <r>
      <rPr>
        <sz val="10"/>
        <rFont val="Verdana"/>
        <family val="2"/>
      </rPr>
      <t xml:space="preserve"> TPS ,1975 read with Section 45 SPLUMA By law 2018</t>
    </r>
  </si>
  <si>
    <t xml:space="preserve">Consent for  Temporary Use of Land /Building-Clause 11 Krugerdsdorp TPS, 1980 read with Section 43 SPLUMA Bylaw </t>
  </si>
  <si>
    <t>Building Line relaxation -Clause 5(f)(iii)Krugersdorp,TPS,1980 read with Section 44 SPLUMA Bylaw 2018</t>
  </si>
  <si>
    <t>Building Line relaxation -Clause 5(3)-Peri Urban TPS 1975 read with Section 44 SPLUMA Bylaw</t>
  </si>
  <si>
    <t>Amendment of Krugersdorp Town Planning Scheme 1980 in terms of   Section 56 of the Town Planning and Township Ordinance,15 of 1986 read with Section 45 SPLUMA Bylaw</t>
  </si>
  <si>
    <t>Subdivision-section 91((1) (a)-Town Planning and Township Ordinance, 1986 read with Section 58 SPLUMA</t>
  </si>
  <si>
    <t>Consolidation –Section 91(1)(a)-Town Planning and Township ordinance 1986  read with Section 58 SPLUMA</t>
  </si>
  <si>
    <t>Amendment of pending division application-Section 17(3), Division of Land Ordinance, 1986 (excluding advertisement fee) read with SPLUMA Bylaw</t>
  </si>
  <si>
    <t xml:space="preserve">Application for Township Establishment,Section 96,Town Planning and Township Ordinance,1986/ Section 51 SPLUMA Bylaw                                                </t>
  </si>
  <si>
    <t>Amendment of pending Township Application-Town Planning  and Townships Ordinance ,15 of 1986 -Amendment not material:/ Section 51(10) SPLUMA By law</t>
  </si>
  <si>
    <t>Phasing of Township Application-Section 99 Town Planning and Township Ordinance,15 of 1986 (regardless of number of phases)/ Section 56 SPLUMA Bylaw 2018</t>
  </si>
  <si>
    <t>Furnishing of Reasons for Council Decision read with Section 85 SPLUMA Bylaw</t>
  </si>
  <si>
    <t>Removal of Restrictive Title Condition-Section 5,Removal of Restrictions Act3 of 1996  read with Section 66 SPLUMA</t>
  </si>
  <si>
    <t>Simultaneous Removal of Restrictive Conditions and Rezoning of Property Section 56, Krugersdorp TPS,1980 &amp; Section 5,Removal of Restriction Act 3 of 1996 read with SPLUMA Bylaw</t>
  </si>
  <si>
    <t>Change of Land Use-Regulation 19 (5), Act 4 of 1984 read with SPLUMA Bylaw</t>
  </si>
  <si>
    <t>Subdivision of property-Section 57 (B), Act 4 of 1984 read with Section 58 SPLUMA Bylaw</t>
  </si>
  <si>
    <t>Consolidation of property -Section 57 (B), Act 4 of 1984 read with Section 58 SPLUMA Bylaw 2018</t>
  </si>
  <si>
    <t>Relaxation of Building Line-Annexure f,Act 4 of 1984 read with Section 44 SPLUMA Bylaw 2018</t>
  </si>
  <si>
    <t>Consent Use - Part 3 of Annexure F, Act 4 of 1984 read Section 43 SPLUMA Bylaw 2018</t>
  </si>
  <si>
    <t>Fine - Building without approved land use rights read with Section 79(7) SPLUMA Bylaw</t>
  </si>
  <si>
    <t>Alterations, amendment or cancellation of General Plan after Proclamation of township read with Section 63 SPLUMA</t>
  </si>
  <si>
    <t>Issuing certificate in terms of Section 82 of the Town Planning and Townships Ordinance, 15 of 1986 / Section 62 SPLUMA</t>
  </si>
  <si>
    <t>Application for temporary Consent – Clause 11 Krugersdorp TPS, 1980 / Section 43 SPLUMA Bylaw</t>
  </si>
  <si>
    <t>Application for Excision of Agricultural Holdings (Agricultural Holdings (Transvaal) Registration Act, 22 of 1919. read with Section 93 SPLUMA Bylaw</t>
  </si>
  <si>
    <t>Application for consent for removal of restrictive title conditions imposed in terms of Act 21 of 1940 read with Section 66 SPLUMA</t>
  </si>
  <si>
    <t>Application for rezoning in terms of Annexure F of Act 4 of 1984 read with Section 45 SPLUMA Bylaw</t>
  </si>
  <si>
    <t>Permanent closure of a public place  in terms of Section 70 SPLUMA Bylaw</t>
  </si>
  <si>
    <t>Intervener Status</t>
  </si>
  <si>
    <t>Appeal in terms of Section 74 of SPLUMA By-law</t>
  </si>
  <si>
    <t>R 3000</t>
  </si>
  <si>
    <t>R 3001</t>
  </si>
  <si>
    <t>R 3002</t>
  </si>
  <si>
    <t>Exsemption in terms of Section 90 of SPLUMA By-Law</t>
  </si>
  <si>
    <t>Extension of Boundaries of Township-Section 88(1),Town Planning  and Township Ordinance,15 of 1986-Basic Fee(Compulsory):/Section 57 SPLUMA By law</t>
  </si>
  <si>
    <r>
      <t xml:space="preserve">    </t>
    </r>
    <r>
      <rPr>
        <b/>
        <sz val="10"/>
        <rFont val="Verdana"/>
        <family val="2"/>
      </rPr>
      <t>1.1.1.2.</t>
    </r>
    <r>
      <rPr>
        <sz val="10"/>
        <rFont val="Verdana"/>
        <family val="2"/>
      </rPr>
      <t xml:space="preserve">  Energy (R/kWh)</t>
    </r>
  </si>
  <si>
    <r>
      <t xml:space="preserve">    </t>
    </r>
    <r>
      <rPr>
        <b/>
        <sz val="10"/>
        <rFont val="Verdana"/>
        <family val="2"/>
      </rPr>
      <t>1.1.1.3.</t>
    </r>
    <r>
      <rPr>
        <sz val="10"/>
        <rFont val="Verdana"/>
        <family val="2"/>
      </rPr>
      <t xml:space="preserve">  Energy (R/kWh)</t>
    </r>
  </si>
  <si>
    <r>
      <t xml:space="preserve">   </t>
    </r>
    <r>
      <rPr>
        <b/>
        <sz val="10"/>
        <rFont val="Verdana"/>
        <family val="2"/>
      </rPr>
      <t xml:space="preserve"> 1.1.1.1</t>
    </r>
    <r>
      <rPr>
        <sz val="10"/>
        <rFont val="Verdana"/>
        <family val="2"/>
      </rPr>
      <t>.  Energy (R/kWh)</t>
    </r>
  </si>
  <si>
    <t>APPROVED GENERAL TARIFFS &amp; OTHER USER CHARGES:  2019/2020</t>
  </si>
  <si>
    <t>Mogale City Approved Tariffs  July 2019/2020</t>
  </si>
  <si>
    <t>Mogale City Approved Tariffs  July 2020/2021</t>
  </si>
  <si>
    <t>Mogale City Approved Tariffs  July 2021/2022</t>
  </si>
  <si>
    <t>APPROVED PUBLIC SAFETY TARIFFS :  2019/2020</t>
  </si>
  <si>
    <t>APPROVED GENERAL TARIFFS :  2019/2020</t>
  </si>
  <si>
    <t>APPROVED BIODIVERSITY MANAGEMENT:  2019/2020</t>
  </si>
  <si>
    <t>APPROVED CEMETERY FEES:  2019/2020</t>
  </si>
  <si>
    <t>APPROVED SERVICE DEPOSIT TARIFFS:  2019/2020</t>
  </si>
  <si>
    <t>APPROVED REFUSE REMOVAL:  2019/2020</t>
  </si>
  <si>
    <t>APPROVED PROPERTY RATES TARIFFS:  2019/2020</t>
  </si>
  <si>
    <t>APPROVED  SANITATION TARIFFS :  2019/2020</t>
  </si>
  <si>
    <t>APPROVED  WATER TARIFFS :  2019/2020</t>
  </si>
  <si>
    <t>APPROVED ELECTRICITY TARIFFS: 2019/2020</t>
  </si>
  <si>
    <t>Mogale City/NERSA Approved Tariffs  July 2018</t>
  </si>
  <si>
    <t>Mogale City Approved Tariffs  July 2019</t>
  </si>
  <si>
    <t>Mogale City Approved Tariffs  July 2020</t>
  </si>
  <si>
    <t>Mogale City Approved Tariffs  July 2021</t>
  </si>
</sst>
</file>

<file path=xl/styles.xml><?xml version="1.0" encoding="utf-8"?>
<styleSheet xmlns="http://schemas.openxmlformats.org/spreadsheetml/2006/main">
  <numFmts count="5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00;&quot;R&quot;\ \-#,##0.00"/>
    <numFmt numFmtId="174" formatCode="&quot;R&quot;\ #,##0.00;[Red]&quot;R&quot;\ \-#,##0.00"/>
    <numFmt numFmtId="175" formatCode="_ &quot;R&quot;\ * #,##0_ ;_ &quot;R&quot;\ * \-#,##0_ ;_ &quot;R&quot;\ * &quot;-&quot;_ ;_ @_ "/>
    <numFmt numFmtId="176" formatCode="_ * #,##0_ ;_ * \-#,##0_ ;_ * &quot;-&quot;_ ;_ @_ "/>
    <numFmt numFmtId="177" formatCode="_ &quot;R&quot;\ * #,##0.00_ ;_ &quot;R&quot;\ * \-#,##0.00_ ;_ &quot;R&quot;\ * &quot;-&quot;??_ ;_ @_ "/>
    <numFmt numFmtId="178" formatCode="_ * #,##0.00_ ;_ * \-#,##0.00_ ;_ * &quot;-&quot;??_ ;_ @_ "/>
    <numFmt numFmtId="179" formatCode="0.0%"/>
    <numFmt numFmtId="180" formatCode="_ * #,##0_ ;_ * \-#,##0_ ;_ * &quot;-&quot;??_ ;_ @_ "/>
    <numFmt numFmtId="181" formatCode="&quot;R&quot;\ #,##0.00"/>
    <numFmt numFmtId="182" formatCode="0.000"/>
    <numFmt numFmtId="183" formatCode="0.00000"/>
    <numFmt numFmtId="184" formatCode="0.0000"/>
    <numFmt numFmtId="185" formatCode="_(* #,##0_);_(* \(#,##0\);_(* &quot;-&quot;??_);_(@_)"/>
    <numFmt numFmtId="186" formatCode="&quot;R&quot;\ #,##0.0000"/>
    <numFmt numFmtId="187" formatCode="&quot;R&quot;\ #,##0.0000;[Red]&quot;R&quot;\ \-#,##0.0000"/>
    <numFmt numFmtId="188" formatCode="_ * #,##0.0000_ ;_ * \-#,##0.0000_ ;_ * &quot;-&quot;??_ ;_ @_ "/>
    <numFmt numFmtId="189" formatCode="_ * #,##0.000_ ;_ * \-#,##0.000_ ;_ * &quot;-&quot;??_ ;_ @_ "/>
    <numFmt numFmtId="190" formatCode="_ * #,##0.00000_ ;_ * \-#,##0.00000_ ;_ * &quot;-&quot;??_ ;_ @_ "/>
    <numFmt numFmtId="191" formatCode="_-* #,##0_-;\-* #,##0_-;_-* &quot;-&quot;??_-;_-@_-"/>
    <numFmt numFmtId="192" formatCode="&quot;R&quot;\ #,##0"/>
    <numFmt numFmtId="193" formatCode="&quot;R&quot;#,##0.00"/>
    <numFmt numFmtId="194" formatCode="_ * #,##0.00000_ ;_ * \-#,##0.00000_ ;_ * &quot;-&quot;????_ ;_ @_ "/>
    <numFmt numFmtId="195" formatCode="&quot;R&quot;#,##0"/>
    <numFmt numFmtId="196" formatCode="[$-409]dddd\,\ mmmm\ d\,\ yyyy"/>
    <numFmt numFmtId="197" formatCode="[$-409]h:mm:ss\ AM/PM"/>
    <numFmt numFmtId="198" formatCode="_ * #,##0.0_ ;_ * \-#,##0.0_ ;_ * &quot;-&quot;??_ ;_ @_ "/>
    <numFmt numFmtId="199" formatCode="0.0000000"/>
    <numFmt numFmtId="200" formatCode="0.00000000"/>
    <numFmt numFmtId="201" formatCode="0.000000000"/>
    <numFmt numFmtId="202" formatCode="0.000000"/>
    <numFmt numFmtId="203" formatCode="[$-1C09]dddd\,\ dd\ mmmm\ yyyy"/>
    <numFmt numFmtId="204" formatCode="0.000%"/>
    <numFmt numFmtId="205" formatCode="_([$ZAR]\ * #,##0.00_);_([$ZAR]\ * \(#,##0.00\);_([$ZAR]\ * &quot;-&quot;??_);_(@_)"/>
    <numFmt numFmtId="206" formatCode="&quot;$&quot;#,##0.00"/>
    <numFmt numFmtId="207" formatCode="_-[$R-432]* #,##0.00_-;\-[$R-432]* #,##0.00_-;_-[$R-432]* &quot;-&quot;??_-;_-@_-"/>
    <numFmt numFmtId="208" formatCode="_(* #,##0.0000_);_(* \(#,##0.0000\);_(* &quot;-&quot;????_);_(@_)"/>
  </numFmts>
  <fonts count="122">
    <font>
      <sz val="10"/>
      <name val="Arial"/>
      <family val="0"/>
    </font>
    <font>
      <sz val="11"/>
      <color indexed="8"/>
      <name val="Calibri"/>
      <family val="2"/>
    </font>
    <font>
      <b/>
      <sz val="14"/>
      <name val="Verdana"/>
      <family val="2"/>
    </font>
    <font>
      <sz val="10"/>
      <name val="Verdana"/>
      <family val="2"/>
    </font>
    <font>
      <b/>
      <sz val="10"/>
      <name val="Verdana"/>
      <family val="2"/>
    </font>
    <font>
      <b/>
      <sz val="12"/>
      <name val="Verdana"/>
      <family val="2"/>
    </font>
    <font>
      <b/>
      <sz val="11"/>
      <name val="Verdana"/>
      <family val="2"/>
    </font>
    <font>
      <sz val="11"/>
      <name val="Verdana"/>
      <family val="2"/>
    </font>
    <font>
      <b/>
      <sz val="9"/>
      <name val="Verdana"/>
      <family val="2"/>
    </font>
    <font>
      <sz val="9"/>
      <name val="Verdana"/>
      <family val="2"/>
    </font>
    <font>
      <b/>
      <sz val="10"/>
      <name val="Arial"/>
      <family val="2"/>
    </font>
    <font>
      <sz val="9"/>
      <name val="Tahoma"/>
      <family val="2"/>
    </font>
    <font>
      <b/>
      <sz val="9"/>
      <name val="Tahoma"/>
      <family val="2"/>
    </font>
    <font>
      <b/>
      <u val="single"/>
      <sz val="12"/>
      <name val="Verdana"/>
      <family val="2"/>
    </font>
    <font>
      <b/>
      <sz val="8"/>
      <name val="Verdana"/>
      <family val="2"/>
    </font>
    <font>
      <sz val="8"/>
      <name val="Verdana"/>
      <family val="2"/>
    </font>
    <font>
      <b/>
      <u val="single"/>
      <sz val="11"/>
      <name val="Verdana"/>
      <family val="2"/>
    </font>
    <font>
      <b/>
      <u val="single"/>
      <sz val="10"/>
      <color indexed="9"/>
      <name val="Verdana"/>
      <family val="2"/>
    </font>
    <font>
      <strike/>
      <sz val="10"/>
      <name val="Verdana"/>
      <family val="2"/>
    </font>
    <font>
      <sz val="10"/>
      <color indexed="8"/>
      <name val="Verdana"/>
      <family val="2"/>
    </font>
    <font>
      <sz val="10"/>
      <color indexed="8"/>
      <name val="Calibri"/>
      <family val="2"/>
    </font>
    <font>
      <sz val="10"/>
      <name val="Calibri"/>
      <family val="2"/>
    </font>
    <font>
      <i/>
      <sz val="10"/>
      <name val="Verdana"/>
      <family val="2"/>
    </font>
    <font>
      <b/>
      <i/>
      <sz val="10"/>
      <name val="Verdana"/>
      <family val="2"/>
    </font>
    <font>
      <b/>
      <i/>
      <sz val="10"/>
      <color indexed="10"/>
      <name val="Verdana"/>
      <family val="2"/>
    </font>
    <font>
      <b/>
      <strike/>
      <sz val="10"/>
      <name val="Verdana"/>
      <family val="2"/>
    </font>
    <font>
      <strike/>
      <sz val="11"/>
      <name val="Verdana"/>
      <family val="2"/>
    </font>
    <font>
      <b/>
      <u val="single"/>
      <sz val="10"/>
      <name val="Verdana"/>
      <family val="2"/>
    </font>
    <font>
      <b/>
      <u val="single"/>
      <sz val="14"/>
      <name val="Verdana"/>
      <family val="2"/>
    </font>
    <font>
      <b/>
      <sz val="10"/>
      <color indexed="10"/>
      <name val="Verdana"/>
      <family val="2"/>
    </font>
    <font>
      <sz val="10"/>
      <color indexed="10"/>
      <name val="Verdana"/>
      <family val="2"/>
    </font>
    <font>
      <b/>
      <sz val="10"/>
      <color indexed="10"/>
      <name val="Calibri"/>
      <family val="2"/>
    </font>
    <font>
      <sz val="11"/>
      <name val="Arial"/>
      <family val="2"/>
    </font>
    <font>
      <sz val="11"/>
      <name val="Calibri"/>
      <family val="2"/>
    </font>
    <font>
      <sz val="10"/>
      <color indexed="10"/>
      <name val="Calibri"/>
      <family val="2"/>
    </font>
    <font>
      <b/>
      <sz val="7.8"/>
      <color indexed="10"/>
      <name val="Verdana"/>
      <family val="2"/>
    </font>
    <font>
      <sz val="7.8"/>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Verdana"/>
      <family val="2"/>
    </font>
    <font>
      <b/>
      <sz val="14"/>
      <color indexed="8"/>
      <name val="Verdana"/>
      <family val="2"/>
    </font>
    <font>
      <sz val="11"/>
      <color indexed="8"/>
      <name val="Verdana"/>
      <family val="2"/>
    </font>
    <font>
      <sz val="10"/>
      <color indexed="36"/>
      <name val="Verdana"/>
      <family val="2"/>
    </font>
    <font>
      <b/>
      <sz val="11"/>
      <color indexed="8"/>
      <name val="Verdana"/>
      <family val="2"/>
    </font>
    <font>
      <b/>
      <sz val="12"/>
      <color indexed="8"/>
      <name val="Verdana"/>
      <family val="2"/>
    </font>
    <font>
      <sz val="10"/>
      <color indexed="10"/>
      <name val="Arial"/>
      <family val="2"/>
    </font>
    <font>
      <b/>
      <sz val="10"/>
      <color indexed="10"/>
      <name val="Arial"/>
      <family val="2"/>
    </font>
    <font>
      <b/>
      <sz val="11"/>
      <color indexed="10"/>
      <name val="Verdana"/>
      <family val="2"/>
    </font>
    <font>
      <i/>
      <sz val="11"/>
      <color indexed="8"/>
      <name val="Verdana"/>
      <family val="2"/>
    </font>
    <font>
      <b/>
      <i/>
      <sz val="10"/>
      <color indexed="8"/>
      <name val="Verdana"/>
      <family val="2"/>
    </font>
    <font>
      <b/>
      <sz val="11"/>
      <color indexed="10"/>
      <name val="Calibri"/>
      <family val="2"/>
    </font>
    <font>
      <sz val="9"/>
      <color indexed="36"/>
      <name val="Verdana"/>
      <family val="2"/>
    </font>
    <font>
      <sz val="9"/>
      <color indexed="8"/>
      <name val="Verdana"/>
      <family val="2"/>
    </font>
    <font>
      <strike/>
      <sz val="11"/>
      <color indexed="8"/>
      <name val="Verdana"/>
      <family val="2"/>
    </font>
    <font>
      <i/>
      <sz val="10"/>
      <color indexed="8"/>
      <name val="Verdana"/>
      <family val="2"/>
    </font>
    <font>
      <strike/>
      <sz val="10"/>
      <color indexed="8"/>
      <name val="Verdana"/>
      <family val="2"/>
    </font>
    <font>
      <b/>
      <u val="single"/>
      <sz val="12"/>
      <color indexed="8"/>
      <name val="Verdana"/>
      <family val="2"/>
    </font>
    <font>
      <b/>
      <sz val="12"/>
      <color indexed="10"/>
      <name val="Verdana"/>
      <family val="2"/>
    </font>
    <font>
      <sz val="11"/>
      <color indexed="10"/>
      <name val="Verdana"/>
      <family val="2"/>
    </font>
    <font>
      <b/>
      <sz val="9"/>
      <color indexed="10"/>
      <name val="Verdana"/>
      <family val="2"/>
    </font>
    <font>
      <sz val="10"/>
      <color indexed="5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
      <b/>
      <sz val="14"/>
      <color theme="1"/>
      <name val="Verdana"/>
      <family val="2"/>
    </font>
    <font>
      <sz val="10"/>
      <color theme="1"/>
      <name val="Verdana"/>
      <family val="2"/>
    </font>
    <font>
      <sz val="11"/>
      <color theme="1"/>
      <name val="Verdana"/>
      <family val="2"/>
    </font>
    <font>
      <b/>
      <sz val="10"/>
      <color rgb="FFFF0000"/>
      <name val="Verdana"/>
      <family val="2"/>
    </font>
    <font>
      <sz val="10"/>
      <color rgb="FF7030A0"/>
      <name val="Verdana"/>
      <family val="2"/>
    </font>
    <font>
      <b/>
      <sz val="11"/>
      <color theme="1"/>
      <name val="Verdana"/>
      <family val="2"/>
    </font>
    <font>
      <b/>
      <sz val="12"/>
      <color theme="1"/>
      <name val="Verdana"/>
      <family val="2"/>
    </font>
    <font>
      <sz val="10"/>
      <color rgb="FFFF0000"/>
      <name val="Verdana"/>
      <family val="2"/>
    </font>
    <font>
      <sz val="10"/>
      <color rgb="FFFF0000"/>
      <name val="Arial"/>
      <family val="2"/>
    </font>
    <font>
      <b/>
      <sz val="10"/>
      <color rgb="FFFF0000"/>
      <name val="Arial"/>
      <family val="2"/>
    </font>
    <font>
      <b/>
      <sz val="11"/>
      <color rgb="FFFF0000"/>
      <name val="Verdana"/>
      <family val="2"/>
    </font>
    <font>
      <i/>
      <sz val="11"/>
      <color theme="1"/>
      <name val="Verdana"/>
      <family val="2"/>
    </font>
    <font>
      <b/>
      <i/>
      <sz val="10"/>
      <color theme="1"/>
      <name val="Verdana"/>
      <family val="2"/>
    </font>
    <font>
      <b/>
      <sz val="11"/>
      <color rgb="FFFF0000"/>
      <name val="Calibri"/>
      <family val="2"/>
    </font>
    <font>
      <sz val="9"/>
      <color rgb="FF7030A0"/>
      <name val="Verdana"/>
      <family val="2"/>
    </font>
    <font>
      <sz val="9"/>
      <color theme="1"/>
      <name val="Verdana"/>
      <family val="2"/>
    </font>
    <font>
      <strike/>
      <sz val="11"/>
      <color theme="1"/>
      <name val="Verdana"/>
      <family val="2"/>
    </font>
    <font>
      <i/>
      <sz val="10"/>
      <color theme="1"/>
      <name val="Verdana"/>
      <family val="2"/>
    </font>
    <font>
      <strike/>
      <sz val="10"/>
      <color theme="1"/>
      <name val="Verdana"/>
      <family val="2"/>
    </font>
    <font>
      <b/>
      <u val="single"/>
      <sz val="12"/>
      <color theme="1"/>
      <name val="Verdana"/>
      <family val="2"/>
    </font>
    <font>
      <b/>
      <sz val="12"/>
      <color rgb="FFFF0000"/>
      <name val="Verdana"/>
      <family val="2"/>
    </font>
    <font>
      <sz val="11"/>
      <color rgb="FFFF0000"/>
      <name val="Verdana"/>
      <family val="2"/>
    </font>
    <font>
      <b/>
      <sz val="9"/>
      <color rgb="FFFF0000"/>
      <name val="Verdana"/>
      <family val="2"/>
    </font>
    <font>
      <sz val="10"/>
      <color rgb="FF92D050"/>
      <name val="Verdana"/>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top style="thin"/>
      <bottom style="thin"/>
    </border>
    <border>
      <left style="thin"/>
      <right style="thin"/>
      <top style="thin"/>
      <bottom/>
    </border>
    <border>
      <left/>
      <right/>
      <top/>
      <bottom style="thin"/>
    </border>
    <border>
      <left style="thin"/>
      <right style="thin"/>
      <top/>
      <bottom/>
    </border>
    <border>
      <left style="thin"/>
      <right/>
      <top/>
      <bottom/>
    </border>
    <border>
      <left style="double"/>
      <right/>
      <top style="thin"/>
      <bottom/>
    </border>
    <border>
      <left style="double"/>
      <right style="thin"/>
      <top/>
      <bottom/>
    </border>
    <border>
      <left style="thin"/>
      <right style="thin"/>
      <top/>
      <bottom style="thin"/>
    </border>
    <border>
      <left style="double"/>
      <right/>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bottom style="thin"/>
    </border>
    <border>
      <left>
        <color indexed="63"/>
      </left>
      <right style="thin"/>
      <top style="thin"/>
      <bottom style="thin"/>
    </border>
    <border>
      <left style="double"/>
      <right>
        <color indexed="63"/>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77" fillId="0" borderId="0">
      <alignment/>
      <protection/>
    </xf>
    <xf numFmtId="0" fontId="0" fillId="32" borderId="7" applyNumberFormat="0" applyFont="0" applyAlignment="0" applyProtection="0"/>
    <xf numFmtId="0" fontId="92"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1002">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9" fontId="3" fillId="0" borderId="0" xfId="0" applyNumberFormat="1" applyFont="1" applyAlignment="1">
      <alignment/>
    </xf>
    <xf numFmtId="0" fontId="6" fillId="0" borderId="0" xfId="0" applyFont="1" applyAlignment="1">
      <alignment/>
    </xf>
    <xf numFmtId="0" fontId="3" fillId="0" borderId="0" xfId="0" applyFont="1" applyAlignment="1">
      <alignment wrapText="1"/>
    </xf>
    <xf numFmtId="178" fontId="3" fillId="0" borderId="0" xfId="42" applyFont="1" applyAlignment="1">
      <alignment/>
    </xf>
    <xf numFmtId="0" fontId="4" fillId="0" borderId="0" xfId="0" applyFont="1" applyAlignment="1" quotePrefix="1">
      <alignment/>
    </xf>
    <xf numFmtId="9" fontId="4" fillId="0" borderId="0" xfId="0" applyNumberFormat="1" applyFont="1" applyAlignment="1">
      <alignment/>
    </xf>
    <xf numFmtId="173" fontId="8" fillId="0" borderId="0" xfId="0" applyNumberFormat="1" applyFont="1" applyFill="1" applyBorder="1" applyAlignment="1" quotePrefix="1">
      <alignment horizontal="center"/>
    </xf>
    <xf numFmtId="0" fontId="8" fillId="0" borderId="0" xfId="0" applyFont="1" applyFill="1" applyBorder="1" applyAlignment="1">
      <alignment wrapText="1"/>
    </xf>
    <xf numFmtId="178" fontId="9" fillId="0" borderId="0" xfId="42" applyFont="1" applyAlignment="1">
      <alignment/>
    </xf>
    <xf numFmtId="0" fontId="4" fillId="0" borderId="0" xfId="0" applyFont="1" applyFill="1" applyBorder="1" applyAlignment="1" quotePrefix="1">
      <alignment/>
    </xf>
    <xf numFmtId="0" fontId="4" fillId="0" borderId="0" xfId="0" applyFont="1" applyFill="1" applyBorder="1" applyAlignment="1">
      <alignment/>
    </xf>
    <xf numFmtId="178" fontId="2" fillId="0" borderId="0" xfId="42" applyFont="1" applyAlignment="1">
      <alignment/>
    </xf>
    <xf numFmtId="178" fontId="4" fillId="0" borderId="0" xfId="42" applyFont="1" applyAlignment="1" quotePrefix="1">
      <alignment/>
    </xf>
    <xf numFmtId="178" fontId="4" fillId="0" borderId="0" xfId="42" applyFont="1" applyAlignment="1">
      <alignment/>
    </xf>
    <xf numFmtId="0" fontId="2" fillId="0" borderId="0" xfId="0" applyFont="1" applyFill="1" applyAlignment="1">
      <alignment/>
    </xf>
    <xf numFmtId="0" fontId="4" fillId="0" borderId="0" xfId="0" applyFont="1" applyFill="1" applyAlignment="1" quotePrefix="1">
      <alignment/>
    </xf>
    <xf numFmtId="0" fontId="3" fillId="0" borderId="0" xfId="0" applyFont="1" applyFill="1" applyAlignment="1">
      <alignment/>
    </xf>
    <xf numFmtId="178" fontId="3" fillId="0" borderId="0" xfId="42" applyFont="1" applyFill="1" applyAlignment="1">
      <alignment/>
    </xf>
    <xf numFmtId="0" fontId="4" fillId="0" borderId="0" xfId="0" applyFont="1" applyFill="1" applyAlignment="1">
      <alignment/>
    </xf>
    <xf numFmtId="2" fontId="3" fillId="0" borderId="0" xfId="0" applyNumberFormat="1" applyFont="1" applyFill="1" applyAlignment="1">
      <alignment/>
    </xf>
    <xf numFmtId="178" fontId="3" fillId="0" borderId="0" xfId="42" applyNumberFormat="1" applyFont="1" applyAlignment="1">
      <alignment/>
    </xf>
    <xf numFmtId="0" fontId="2" fillId="0" borderId="0" xfId="0" applyFont="1" applyAlignment="1">
      <alignment horizontal="center"/>
    </xf>
    <xf numFmtId="180" fontId="2" fillId="0" borderId="0" xfId="0" applyNumberFormat="1" applyFont="1" applyAlignment="1">
      <alignment/>
    </xf>
    <xf numFmtId="180" fontId="3" fillId="0" borderId="0" xfId="42" applyNumberFormat="1" applyFont="1" applyAlignment="1">
      <alignment/>
    </xf>
    <xf numFmtId="174" fontId="3" fillId="0" borderId="0" xfId="0" applyNumberFormat="1" applyFont="1" applyFill="1" applyAlignment="1">
      <alignment/>
    </xf>
    <xf numFmtId="0" fontId="4" fillId="33" borderId="0" xfId="0" applyFont="1" applyFill="1" applyAlignment="1">
      <alignment/>
    </xf>
    <xf numFmtId="178" fontId="3" fillId="33" borderId="0" xfId="42" applyFont="1" applyFill="1" applyAlignment="1">
      <alignment/>
    </xf>
    <xf numFmtId="0" fontId="3" fillId="33" borderId="0" xfId="0" applyFont="1" applyFill="1" applyAlignment="1">
      <alignment wrapText="1"/>
    </xf>
    <xf numFmtId="0" fontId="3" fillId="33" borderId="0" xfId="0" applyFont="1" applyFill="1" applyAlignment="1">
      <alignment/>
    </xf>
    <xf numFmtId="180" fontId="2" fillId="0" borderId="0" xfId="42" applyNumberFormat="1" applyFont="1" applyAlignment="1">
      <alignment/>
    </xf>
    <xf numFmtId="180" fontId="4" fillId="0" borderId="0" xfId="42" applyNumberFormat="1" applyFont="1" applyAlignment="1" quotePrefix="1">
      <alignment/>
    </xf>
    <xf numFmtId="180" fontId="4" fillId="0" borderId="0" xfId="42" applyNumberFormat="1" applyFont="1" applyAlignment="1">
      <alignment/>
    </xf>
    <xf numFmtId="0" fontId="3" fillId="34" borderId="0" xfId="0" applyFont="1" applyFill="1" applyAlignment="1">
      <alignment/>
    </xf>
    <xf numFmtId="178" fontId="3" fillId="34" borderId="0" xfId="42" applyFont="1" applyFill="1" applyAlignment="1">
      <alignment/>
    </xf>
    <xf numFmtId="180" fontId="3" fillId="34" borderId="0" xfId="42" applyNumberFormat="1" applyFont="1" applyFill="1" applyAlignment="1">
      <alignment/>
    </xf>
    <xf numFmtId="0" fontId="2" fillId="0" borderId="0" xfId="0" applyFont="1" applyFill="1" applyAlignment="1">
      <alignment horizontal="center"/>
    </xf>
    <xf numFmtId="180" fontId="2" fillId="0" borderId="0" xfId="0" applyNumberFormat="1" applyFont="1" applyFill="1" applyAlignment="1">
      <alignment/>
    </xf>
    <xf numFmtId="0" fontId="5" fillId="0" borderId="0" xfId="0" applyFont="1" applyFill="1" applyAlignment="1">
      <alignment/>
    </xf>
    <xf numFmtId="0" fontId="8" fillId="0" borderId="0" xfId="0" applyFont="1" applyFill="1" applyAlignment="1">
      <alignment/>
    </xf>
    <xf numFmtId="9" fontId="3" fillId="0" borderId="0" xfId="0" applyNumberFormat="1" applyFont="1" applyFill="1" applyAlignment="1">
      <alignment/>
    </xf>
    <xf numFmtId="185" fontId="3" fillId="0" borderId="0" xfId="0" applyNumberFormat="1" applyFont="1" applyAlignment="1">
      <alignment/>
    </xf>
    <xf numFmtId="1" fontId="3" fillId="0" borderId="0" xfId="0" applyNumberFormat="1" applyFont="1" applyAlignment="1">
      <alignment/>
    </xf>
    <xf numFmtId="0" fontId="3" fillId="0" borderId="0" xfId="0" applyFont="1" applyBorder="1" applyAlignment="1">
      <alignment/>
    </xf>
    <xf numFmtId="178" fontId="3" fillId="0" borderId="0" xfId="42" applyFont="1" applyBorder="1" applyAlignment="1">
      <alignment/>
    </xf>
    <xf numFmtId="178" fontId="3" fillId="0" borderId="0" xfId="42" applyFont="1" applyAlignment="1">
      <alignment horizontal="right"/>
    </xf>
    <xf numFmtId="0" fontId="3" fillId="0" borderId="0" xfId="0" applyFont="1" applyFill="1" applyAlignment="1">
      <alignment wrapText="1"/>
    </xf>
    <xf numFmtId="178" fontId="2" fillId="0" borderId="0" xfId="42" applyNumberFormat="1" applyFont="1" applyFill="1" applyAlignment="1">
      <alignment horizontal="center"/>
    </xf>
    <xf numFmtId="182" fontId="2" fillId="0" borderId="0" xfId="0" applyNumberFormat="1" applyFont="1" applyFill="1" applyAlignment="1">
      <alignment/>
    </xf>
    <xf numFmtId="0" fontId="4" fillId="0" borderId="0" xfId="0" applyFont="1" applyFill="1" applyBorder="1" applyAlignment="1">
      <alignment horizontal="justify"/>
    </xf>
    <xf numFmtId="182" fontId="3" fillId="0" borderId="0" xfId="0" applyNumberFormat="1"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4" fillId="0" borderId="0" xfId="0" applyFont="1" applyFill="1" applyBorder="1" applyAlignment="1">
      <alignment horizontal="justify" vertical="top" wrapText="1"/>
    </xf>
    <xf numFmtId="182" fontId="4" fillId="0" borderId="0" xfId="0" applyNumberFormat="1" applyFont="1" applyFill="1" applyBorder="1" applyAlignment="1">
      <alignment/>
    </xf>
    <xf numFmtId="0" fontId="3" fillId="0" borderId="0" xfId="0" applyFont="1" applyFill="1" applyBorder="1" applyAlignment="1">
      <alignment horizontal="justify" vertical="top" wrapText="1"/>
    </xf>
    <xf numFmtId="9" fontId="3" fillId="0" borderId="0" xfId="0" applyNumberFormat="1" applyFont="1" applyFill="1" applyBorder="1" applyAlignment="1">
      <alignment/>
    </xf>
    <xf numFmtId="0" fontId="3" fillId="0" borderId="0" xfId="0" applyFont="1" applyFill="1" applyBorder="1" applyAlignment="1">
      <alignment wrapText="1"/>
    </xf>
    <xf numFmtId="2" fontId="3" fillId="0" borderId="0" xfId="0" applyNumberFormat="1" applyFont="1" applyFill="1" applyBorder="1" applyAlignment="1">
      <alignment/>
    </xf>
    <xf numFmtId="178" fontId="3" fillId="0" borderId="0" xfId="42" applyFont="1" applyFill="1" applyBorder="1" applyAlignment="1">
      <alignment/>
    </xf>
    <xf numFmtId="184" fontId="3" fillId="0" borderId="0" xfId="0" applyNumberFormat="1" applyFont="1" applyFill="1" applyBorder="1" applyAlignment="1">
      <alignment/>
    </xf>
    <xf numFmtId="9" fontId="3" fillId="0" borderId="0" xfId="63" applyFont="1" applyAlignment="1">
      <alignment/>
    </xf>
    <xf numFmtId="178" fontId="3" fillId="0" borderId="0" xfId="42" applyNumberFormat="1" applyFont="1" applyFill="1" applyAlignment="1">
      <alignment/>
    </xf>
    <xf numFmtId="180" fontId="3" fillId="0" borderId="0" xfId="42" applyNumberFormat="1" applyFont="1" applyFill="1" applyAlignment="1">
      <alignment/>
    </xf>
    <xf numFmtId="180" fontId="3" fillId="0" borderId="0" xfId="42" applyNumberFormat="1" applyFont="1" applyFill="1" applyAlignment="1">
      <alignment horizontal="right" wrapText="1"/>
    </xf>
    <xf numFmtId="178" fontId="3" fillId="0" borderId="0" xfId="42" applyFont="1" applyFill="1" applyAlignment="1">
      <alignment horizontal="right" wrapText="1"/>
    </xf>
    <xf numFmtId="178" fontId="4" fillId="0" borderId="0" xfId="42" applyFont="1" applyFill="1" applyAlignment="1">
      <alignment/>
    </xf>
    <xf numFmtId="1" fontId="3" fillId="0" borderId="0" xfId="42" applyNumberFormat="1" applyFont="1" applyFill="1" applyAlignment="1">
      <alignment/>
    </xf>
    <xf numFmtId="1" fontId="3" fillId="0" borderId="0" xfId="42" applyNumberFormat="1" applyFont="1" applyFill="1" applyAlignment="1">
      <alignment horizontal="right"/>
    </xf>
    <xf numFmtId="178" fontId="2" fillId="0" borderId="0" xfId="42" applyFont="1" applyFill="1" applyAlignment="1">
      <alignment/>
    </xf>
    <xf numFmtId="178" fontId="6" fillId="0" borderId="0" xfId="42" applyFont="1" applyFill="1" applyAlignment="1">
      <alignment/>
    </xf>
    <xf numFmtId="178" fontId="4" fillId="0" borderId="0" xfId="42" applyFont="1" applyFill="1" applyAlignment="1" quotePrefix="1">
      <alignment/>
    </xf>
    <xf numFmtId="0" fontId="4" fillId="0" borderId="0" xfId="0" applyFont="1" applyFill="1" applyAlignment="1">
      <alignment horizontal="right"/>
    </xf>
    <xf numFmtId="178" fontId="3" fillId="0" borderId="0" xfId="42" applyFont="1" applyFill="1" applyAlignment="1">
      <alignment horizontal="right"/>
    </xf>
    <xf numFmtId="2" fontId="3" fillId="0" borderId="0" xfId="42" applyNumberFormat="1" applyFont="1" applyFill="1" applyAlignment="1">
      <alignment/>
    </xf>
    <xf numFmtId="0" fontId="3" fillId="0" borderId="0" xfId="0" applyFont="1" applyFill="1" applyAlignment="1">
      <alignment horizontal="left" indent="1"/>
    </xf>
    <xf numFmtId="0" fontId="3" fillId="0" borderId="0" xfId="0" applyFont="1" applyFill="1" applyAlignment="1">
      <alignment/>
    </xf>
    <xf numFmtId="178" fontId="5" fillId="0" borderId="0" xfId="42" applyFont="1" applyFill="1" applyAlignment="1">
      <alignment/>
    </xf>
    <xf numFmtId="180" fontId="3" fillId="0" borderId="0" xfId="42" applyNumberFormat="1" applyFont="1" applyFill="1" applyAlignment="1">
      <alignment wrapText="1"/>
    </xf>
    <xf numFmtId="178" fontId="4" fillId="0" borderId="0" xfId="42" applyNumberFormat="1" applyFont="1" applyFill="1" applyAlignment="1">
      <alignment/>
    </xf>
    <xf numFmtId="180" fontId="4" fillId="0" borderId="0" xfId="42" applyNumberFormat="1" applyFont="1" applyFill="1" applyAlignment="1">
      <alignment wrapText="1"/>
    </xf>
    <xf numFmtId="9" fontId="4" fillId="0" borderId="0" xfId="0" applyNumberFormat="1" applyFont="1" applyFill="1" applyAlignment="1">
      <alignment/>
    </xf>
    <xf numFmtId="180" fontId="3" fillId="0" borderId="0" xfId="42" applyNumberFormat="1" applyFont="1" applyFill="1" applyAlignment="1">
      <alignment horizontal="left" wrapText="1"/>
    </xf>
    <xf numFmtId="0" fontId="3" fillId="0" borderId="0" xfId="0" applyFont="1" applyFill="1" applyAlignment="1">
      <alignment horizontal="left"/>
    </xf>
    <xf numFmtId="0" fontId="6" fillId="0" borderId="0" xfId="0" applyFont="1" applyFill="1" applyAlignment="1">
      <alignment wrapText="1"/>
    </xf>
    <xf numFmtId="182" fontId="6" fillId="0" borderId="0" xfId="0" applyNumberFormat="1" applyFont="1" applyFill="1" applyBorder="1" applyAlignment="1">
      <alignment wrapText="1"/>
    </xf>
    <xf numFmtId="2" fontId="6" fillId="0" borderId="0" xfId="0" applyNumberFormat="1" applyFont="1" applyFill="1" applyBorder="1" applyAlignment="1">
      <alignment wrapText="1"/>
    </xf>
    <xf numFmtId="9" fontId="6" fillId="0" borderId="0" xfId="0" applyNumberFormat="1" applyFont="1" applyFill="1" applyBorder="1" applyAlignment="1">
      <alignment wrapText="1"/>
    </xf>
    <xf numFmtId="2" fontId="6" fillId="0" borderId="0" xfId="0" applyNumberFormat="1" applyFont="1" applyFill="1" applyBorder="1" applyAlignment="1" quotePrefix="1">
      <alignment wrapText="1"/>
    </xf>
    <xf numFmtId="171" fontId="3" fillId="0" borderId="0" xfId="0" applyNumberFormat="1" applyFont="1" applyAlignment="1">
      <alignment/>
    </xf>
    <xf numFmtId="171" fontId="3" fillId="0" borderId="0" xfId="0" applyNumberFormat="1" applyFont="1" applyAlignment="1">
      <alignment horizontal="right"/>
    </xf>
    <xf numFmtId="180" fontId="3" fillId="0" borderId="0" xfId="0" applyNumberFormat="1" applyFont="1" applyAlignment="1">
      <alignment/>
    </xf>
    <xf numFmtId="180" fontId="4" fillId="0" borderId="0" xfId="0" applyNumberFormat="1" applyFont="1" applyAlignment="1">
      <alignment/>
    </xf>
    <xf numFmtId="180" fontId="4" fillId="0" borderId="0" xfId="0" applyNumberFormat="1" applyFont="1" applyAlignment="1" quotePrefix="1">
      <alignment/>
    </xf>
    <xf numFmtId="9" fontId="2" fillId="0" borderId="0" xfId="63" applyFont="1" applyAlignment="1">
      <alignment/>
    </xf>
    <xf numFmtId="9" fontId="4" fillId="0" borderId="0" xfId="63" applyFont="1" applyAlignment="1">
      <alignment/>
    </xf>
    <xf numFmtId="180" fontId="6" fillId="0" borderId="0" xfId="0" applyNumberFormat="1" applyFont="1" applyFill="1" applyAlignment="1">
      <alignment/>
    </xf>
    <xf numFmtId="180" fontId="4" fillId="0" borderId="0" xfId="0" applyNumberFormat="1" applyFont="1" applyFill="1" applyAlignment="1" quotePrefix="1">
      <alignment/>
    </xf>
    <xf numFmtId="180" fontId="4" fillId="0" borderId="0" xfId="0" applyNumberFormat="1" applyFont="1" applyFill="1" applyAlignment="1">
      <alignment/>
    </xf>
    <xf numFmtId="180" fontId="3" fillId="0" borderId="0" xfId="0" applyNumberFormat="1" applyFont="1" applyFill="1" applyAlignment="1">
      <alignment/>
    </xf>
    <xf numFmtId="0" fontId="3" fillId="0" borderId="0" xfId="0" applyNumberFormat="1" applyFont="1" applyFill="1" applyAlignment="1">
      <alignment/>
    </xf>
    <xf numFmtId="180" fontId="3" fillId="0" borderId="0" xfId="0" applyNumberFormat="1" applyFont="1" applyFill="1" applyAlignment="1">
      <alignment wrapText="1"/>
    </xf>
    <xf numFmtId="0" fontId="6" fillId="0" borderId="0" xfId="0" applyFont="1" applyFill="1" applyBorder="1" applyAlignment="1">
      <alignment/>
    </xf>
    <xf numFmtId="0" fontId="3" fillId="0" borderId="0" xfId="0" applyFont="1" applyBorder="1" applyAlignment="1">
      <alignment/>
    </xf>
    <xf numFmtId="178" fontId="4" fillId="0" borderId="0" xfId="42" applyFont="1" applyFill="1" applyBorder="1" applyAlignment="1">
      <alignment/>
    </xf>
    <xf numFmtId="0" fontId="3" fillId="0" borderId="0" xfId="0" applyFont="1" applyFill="1" applyBorder="1" applyAlignment="1">
      <alignment horizontal="justify"/>
    </xf>
    <xf numFmtId="0" fontId="15" fillId="0" borderId="0" xfId="0" applyFont="1" applyFill="1" applyBorder="1" applyAlignment="1">
      <alignment/>
    </xf>
    <xf numFmtId="9" fontId="3" fillId="0" borderId="0" xfId="63" applyNumberFormat="1" applyFont="1" applyAlignment="1">
      <alignment/>
    </xf>
    <xf numFmtId="9" fontId="3" fillId="0" borderId="0" xfId="63" applyNumberFormat="1" applyFont="1" applyFill="1" applyAlignment="1">
      <alignment/>
    </xf>
    <xf numFmtId="1" fontId="3" fillId="0" borderId="0" xfId="0" applyNumberFormat="1" applyFont="1" applyFill="1" applyAlignment="1">
      <alignment/>
    </xf>
    <xf numFmtId="2" fontId="3" fillId="0" borderId="0" xfId="0" applyNumberFormat="1" applyFont="1" applyFill="1" applyAlignment="1">
      <alignment horizontal="right"/>
    </xf>
    <xf numFmtId="180" fontId="3" fillId="0" borderId="0" xfId="42" applyNumberFormat="1" applyFont="1" applyFill="1" applyAlignment="1">
      <alignment horizontal="right"/>
    </xf>
    <xf numFmtId="0" fontId="7" fillId="0" borderId="0" xfId="0" applyFont="1" applyFill="1" applyAlignment="1">
      <alignment/>
    </xf>
    <xf numFmtId="0" fontId="7" fillId="0" borderId="0" xfId="0" applyFont="1" applyFill="1" applyBorder="1" applyAlignment="1">
      <alignmen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7" fillId="0" borderId="0" xfId="0" applyFont="1" applyFill="1" applyBorder="1" applyAlignment="1">
      <alignment horizontal="center" wrapText="1"/>
    </xf>
    <xf numFmtId="17" fontId="4" fillId="0" borderId="0" xfId="0" applyNumberFormat="1" applyFont="1" applyFill="1" applyBorder="1" applyAlignment="1" quotePrefix="1">
      <alignment horizontal="center"/>
    </xf>
    <xf numFmtId="10" fontId="3" fillId="0" borderId="0" xfId="63" applyNumberFormat="1" applyFont="1" applyFill="1" applyBorder="1" applyAlignment="1">
      <alignment/>
    </xf>
    <xf numFmtId="10" fontId="7" fillId="0" borderId="0" xfId="0" applyNumberFormat="1" applyFont="1" applyFill="1" applyBorder="1" applyAlignment="1">
      <alignment/>
    </xf>
    <xf numFmtId="0" fontId="15" fillId="0" borderId="0" xfId="0" applyFont="1" applyFill="1" applyBorder="1" applyAlignment="1">
      <alignment horizontal="center" vertical="center"/>
    </xf>
    <xf numFmtId="10" fontId="4" fillId="0" borderId="0" xfId="0" applyNumberFormat="1" applyFont="1" applyFill="1" applyBorder="1" applyAlignment="1">
      <alignment/>
    </xf>
    <xf numFmtId="0" fontId="13" fillId="0" borderId="10" xfId="0" applyFont="1" applyFill="1" applyBorder="1" applyAlignment="1">
      <alignment/>
    </xf>
    <xf numFmtId="0" fontId="7" fillId="0" borderId="10" xfId="0" applyFont="1" applyFill="1" applyBorder="1" applyAlignment="1">
      <alignment/>
    </xf>
    <xf numFmtId="0" fontId="14" fillId="0" borderId="10" xfId="0" applyFont="1" applyFill="1" applyBorder="1" applyAlignment="1">
      <alignment horizontal="center"/>
    </xf>
    <xf numFmtId="0" fontId="3" fillId="0" borderId="10" xfId="0" applyFont="1" applyFill="1" applyBorder="1" applyAlignment="1">
      <alignment/>
    </xf>
    <xf numFmtId="0" fontId="4" fillId="0" borderId="10" xfId="0" applyFont="1" applyFill="1" applyBorder="1" applyAlignment="1">
      <alignment horizontal="center"/>
    </xf>
    <xf numFmtId="14" fontId="3" fillId="0" borderId="10" xfId="0" applyNumberFormat="1" applyFont="1" applyFill="1" applyBorder="1" applyAlignment="1">
      <alignment horizontal="left"/>
    </xf>
    <xf numFmtId="10" fontId="4" fillId="0" borderId="10" xfId="0" applyNumberFormat="1" applyFont="1" applyFill="1" applyBorder="1" applyAlignment="1">
      <alignment horizontal="center"/>
    </xf>
    <xf numFmtId="0" fontId="5" fillId="0" borderId="10" xfId="0" applyFont="1" applyFill="1" applyBorder="1" applyAlignment="1">
      <alignment horizontal="center" vertical="center" wrapText="1"/>
    </xf>
    <xf numFmtId="186" fontId="4" fillId="0" borderId="10" xfId="0" applyNumberFormat="1" applyFont="1" applyFill="1" applyBorder="1" applyAlignment="1">
      <alignment horizontal="center" vertical="center" wrapText="1"/>
    </xf>
    <xf numFmtId="186"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wrapText="1"/>
    </xf>
    <xf numFmtId="0" fontId="4" fillId="0" borderId="10" xfId="0" applyFont="1" applyFill="1" applyBorder="1" applyAlignment="1" quotePrefix="1">
      <alignment horizontal="center"/>
    </xf>
    <xf numFmtId="0" fontId="6" fillId="0" borderId="10" xfId="0" applyFont="1" applyFill="1" applyBorder="1" applyAlignment="1">
      <alignment/>
    </xf>
    <xf numFmtId="0" fontId="4" fillId="0" borderId="10" xfId="0" applyFont="1" applyFill="1" applyBorder="1" applyAlignment="1">
      <alignment/>
    </xf>
    <xf numFmtId="186" fontId="3" fillId="0" borderId="10" xfId="0" applyNumberFormat="1" applyFont="1" applyFill="1" applyBorder="1" applyAlignment="1" quotePrefix="1">
      <alignment/>
    </xf>
    <xf numFmtId="186" fontId="3" fillId="0" borderId="10" xfId="0" applyNumberFormat="1" applyFont="1" applyFill="1" applyBorder="1" applyAlignment="1">
      <alignment/>
    </xf>
    <xf numFmtId="10" fontId="3" fillId="0" borderId="10" xfId="63" applyNumberFormat="1" applyFont="1" applyFill="1" applyBorder="1" applyAlignment="1">
      <alignment/>
    </xf>
    <xf numFmtId="0" fontId="16" fillId="0" borderId="10" xfId="0" applyFont="1" applyFill="1" applyBorder="1" applyAlignment="1">
      <alignment horizontal="left"/>
    </xf>
    <xf numFmtId="0" fontId="4" fillId="0" borderId="10" xfId="0" applyFont="1" applyFill="1" applyBorder="1" applyAlignment="1">
      <alignment horizontal="left"/>
    </xf>
    <xf numFmtId="186" fontId="3" fillId="0" borderId="10" xfId="0" applyNumberFormat="1" applyFont="1" applyFill="1" applyBorder="1" applyAlignment="1">
      <alignment horizontal="right"/>
    </xf>
    <xf numFmtId="181" fontId="3" fillId="0" borderId="10" xfId="0" applyNumberFormat="1" applyFont="1" applyFill="1" applyBorder="1" applyAlignment="1">
      <alignment/>
    </xf>
    <xf numFmtId="0" fontId="16" fillId="0" borderId="10" xfId="0" applyFont="1" applyFill="1" applyBorder="1" applyAlignment="1">
      <alignment/>
    </xf>
    <xf numFmtId="181" fontId="3" fillId="0" borderId="10" xfId="0" applyNumberFormat="1" applyFont="1" applyFill="1" applyBorder="1" applyAlignment="1">
      <alignment horizontal="right"/>
    </xf>
    <xf numFmtId="10" fontId="7" fillId="0" borderId="10" xfId="0" applyNumberFormat="1" applyFont="1" applyFill="1" applyBorder="1" applyAlignment="1">
      <alignment/>
    </xf>
    <xf numFmtId="10" fontId="4" fillId="0" borderId="10" xfId="0" applyNumberFormat="1" applyFont="1" applyFill="1" applyBorder="1" applyAlignment="1">
      <alignment/>
    </xf>
    <xf numFmtId="0" fontId="4" fillId="0" borderId="0" xfId="0" applyFont="1" applyBorder="1" applyAlignment="1">
      <alignment/>
    </xf>
    <xf numFmtId="180" fontId="3" fillId="0" borderId="0" xfId="42" applyNumberFormat="1" applyFont="1" applyBorder="1" applyAlignment="1">
      <alignment/>
    </xf>
    <xf numFmtId="179" fontId="3" fillId="0" borderId="0" xfId="63" applyNumberFormat="1" applyFont="1" applyFill="1" applyAlignment="1">
      <alignment/>
    </xf>
    <xf numFmtId="180" fontId="3" fillId="0" borderId="0" xfId="59" applyNumberFormat="1" applyFont="1">
      <alignment/>
      <protection/>
    </xf>
    <xf numFmtId="0" fontId="3" fillId="0" borderId="0" xfId="59" applyFont="1">
      <alignment/>
      <protection/>
    </xf>
    <xf numFmtId="0" fontId="0" fillId="0" borderId="0" xfId="59">
      <alignment/>
      <protection/>
    </xf>
    <xf numFmtId="0" fontId="3" fillId="0" borderId="0" xfId="59" applyFont="1" applyBorder="1">
      <alignment/>
      <protection/>
    </xf>
    <xf numFmtId="0" fontId="3" fillId="0" borderId="0" xfId="59" applyFont="1" applyFill="1" applyBorder="1">
      <alignment/>
      <protection/>
    </xf>
    <xf numFmtId="2" fontId="3" fillId="0" borderId="0" xfId="59" applyNumberFormat="1" applyFont="1" applyFill="1" applyBorder="1">
      <alignment/>
      <protection/>
    </xf>
    <xf numFmtId="0" fontId="10" fillId="0" borderId="0" xfId="59" applyFont="1">
      <alignment/>
      <protection/>
    </xf>
    <xf numFmtId="0" fontId="96" fillId="0" borderId="0" xfId="59" applyFont="1" applyBorder="1" applyAlignment="1">
      <alignment wrapText="1"/>
      <protection/>
    </xf>
    <xf numFmtId="178" fontId="4" fillId="0" borderId="0" xfId="42" applyFont="1" applyBorder="1" applyAlignment="1">
      <alignment wrapText="1"/>
    </xf>
    <xf numFmtId="0" fontId="97" fillId="0" borderId="0" xfId="59" applyFont="1" applyBorder="1">
      <alignment/>
      <protection/>
    </xf>
    <xf numFmtId="0" fontId="98" fillId="0" borderId="0" xfId="59" applyFont="1" applyBorder="1" applyAlignment="1">
      <alignment wrapText="1"/>
      <protection/>
    </xf>
    <xf numFmtId="0" fontId="98" fillId="0" borderId="0" xfId="59" applyFont="1" applyBorder="1" applyAlignment="1">
      <alignment vertical="top" wrapText="1"/>
      <protection/>
    </xf>
    <xf numFmtId="178" fontId="98" fillId="0" borderId="0" xfId="42" applyFont="1" applyBorder="1" applyAlignment="1">
      <alignment wrapText="1"/>
    </xf>
    <xf numFmtId="178" fontId="3" fillId="0" borderId="0" xfId="42" applyFont="1" applyBorder="1" applyAlignment="1">
      <alignment wrapText="1"/>
    </xf>
    <xf numFmtId="178" fontId="96" fillId="0" borderId="0" xfId="42" applyFont="1" applyBorder="1" applyAlignment="1">
      <alignment wrapText="1"/>
    </xf>
    <xf numFmtId="178" fontId="3" fillId="0" borderId="0" xfId="42" applyFont="1" applyBorder="1" applyAlignment="1">
      <alignment horizontal="right" wrapText="1"/>
    </xf>
    <xf numFmtId="2" fontId="3" fillId="0" borderId="0" xfId="59" applyNumberFormat="1" applyFont="1" applyBorder="1">
      <alignment/>
      <protection/>
    </xf>
    <xf numFmtId="178" fontId="96" fillId="0" borderId="0" xfId="42" applyFont="1" applyBorder="1" applyAlignment="1" quotePrefix="1">
      <alignment wrapText="1"/>
    </xf>
    <xf numFmtId="0" fontId="5" fillId="0" borderId="0" xfId="59" applyFont="1" applyBorder="1">
      <alignment/>
      <protection/>
    </xf>
    <xf numFmtId="9" fontId="3" fillId="0" borderId="0" xfId="64" applyNumberFormat="1" applyFont="1" applyAlignment="1">
      <alignment/>
    </xf>
    <xf numFmtId="178" fontId="3" fillId="0" borderId="0" xfId="42" applyFont="1" applyFill="1" applyBorder="1" applyAlignment="1">
      <alignment wrapText="1"/>
    </xf>
    <xf numFmtId="0" fontId="3" fillId="0" borderId="0" xfId="59" applyFont="1" applyBorder="1" applyAlignment="1">
      <alignment wrapText="1"/>
      <protection/>
    </xf>
    <xf numFmtId="180" fontId="4" fillId="0" borderId="0" xfId="42" applyNumberFormat="1" applyFont="1" applyFill="1" applyAlignment="1">
      <alignment/>
    </xf>
    <xf numFmtId="0" fontId="99" fillId="0" borderId="0" xfId="60" applyFont="1">
      <alignment/>
      <protection/>
    </xf>
    <xf numFmtId="49" fontId="99" fillId="0" borderId="0" xfId="60" applyNumberFormat="1" applyFont="1" applyAlignment="1">
      <alignment horizontal="center"/>
      <protection/>
    </xf>
    <xf numFmtId="0" fontId="13" fillId="0" borderId="0" xfId="60" applyFont="1">
      <alignment/>
      <protection/>
    </xf>
    <xf numFmtId="49" fontId="13" fillId="0" borderId="0" xfId="60" applyNumberFormat="1" applyFont="1" applyAlignment="1">
      <alignment horizontal="center"/>
      <protection/>
    </xf>
    <xf numFmtId="0" fontId="13" fillId="0" borderId="11" xfId="60" applyFont="1" applyBorder="1">
      <alignment/>
      <protection/>
    </xf>
    <xf numFmtId="0" fontId="4" fillId="0" borderId="12" xfId="60" applyFont="1" applyBorder="1" applyAlignment="1">
      <alignment/>
      <protection/>
    </xf>
    <xf numFmtId="0" fontId="3" fillId="0" borderId="0" xfId="60" applyFont="1">
      <alignment/>
      <protection/>
    </xf>
    <xf numFmtId="0" fontId="4" fillId="0" borderId="0" xfId="60" applyFont="1" applyBorder="1" applyAlignment="1">
      <alignment horizontal="center"/>
      <protection/>
    </xf>
    <xf numFmtId="0" fontId="4" fillId="0" borderId="13" xfId="60" applyFont="1" applyBorder="1" applyAlignment="1">
      <alignment horizontal="center"/>
      <protection/>
    </xf>
    <xf numFmtId="49" fontId="99" fillId="0" borderId="0" xfId="60" applyNumberFormat="1" applyFont="1" applyAlignment="1">
      <alignment horizontal="left"/>
      <protection/>
    </xf>
    <xf numFmtId="0" fontId="99" fillId="0" borderId="11" xfId="60" applyFont="1" applyBorder="1">
      <alignment/>
      <protection/>
    </xf>
    <xf numFmtId="10" fontId="100" fillId="34" borderId="14" xfId="60" applyNumberFormat="1" applyFont="1" applyFill="1" applyBorder="1" applyAlignment="1">
      <alignment horizontal="center"/>
      <protection/>
    </xf>
    <xf numFmtId="10" fontId="100" fillId="0" borderId="14" xfId="60" applyNumberFormat="1" applyFont="1" applyFill="1" applyBorder="1" applyAlignment="1">
      <alignment horizontal="center"/>
      <protection/>
    </xf>
    <xf numFmtId="0" fontId="5" fillId="0" borderId="0" xfId="60" applyFont="1" applyAlignment="1">
      <alignment horizontal="center" vertical="center" wrapText="1"/>
      <protection/>
    </xf>
    <xf numFmtId="186" fontId="14" fillId="0" borderId="15" xfId="60" applyNumberFormat="1" applyFont="1" applyBorder="1" applyAlignment="1">
      <alignment horizontal="center" vertical="center" wrapText="1"/>
      <protection/>
    </xf>
    <xf numFmtId="186" fontId="14" fillId="0" borderId="16" xfId="60" applyNumberFormat="1" applyFont="1" applyBorder="1" applyAlignment="1">
      <alignment horizontal="center" vertical="center" wrapText="1"/>
      <protection/>
    </xf>
    <xf numFmtId="0" fontId="4" fillId="0" borderId="15" xfId="60" applyFont="1" applyBorder="1" applyAlignment="1" quotePrefix="1">
      <alignment horizontal="center"/>
      <protection/>
    </xf>
    <xf numFmtId="0" fontId="4" fillId="0" borderId="16" xfId="60" applyFont="1" applyBorder="1" applyAlignment="1" quotePrefix="1">
      <alignment horizontal="center"/>
      <protection/>
    </xf>
    <xf numFmtId="0" fontId="99" fillId="0" borderId="0" xfId="60" applyFont="1" applyBorder="1">
      <alignment/>
      <protection/>
    </xf>
    <xf numFmtId="49" fontId="99" fillId="0" borderId="0" xfId="60" applyNumberFormat="1" applyFont="1" applyBorder="1" applyAlignment="1">
      <alignment horizontal="center"/>
      <protection/>
    </xf>
    <xf numFmtId="0" fontId="99" fillId="0" borderId="15" xfId="60" applyFont="1" applyBorder="1">
      <alignment/>
      <protection/>
    </xf>
    <xf numFmtId="0" fontId="99" fillId="0" borderId="16" xfId="60" applyFont="1" applyBorder="1">
      <alignment/>
      <protection/>
    </xf>
    <xf numFmtId="186" fontId="4" fillId="0" borderId="15" xfId="60" applyNumberFormat="1" applyFont="1" applyBorder="1">
      <alignment/>
      <protection/>
    </xf>
    <xf numFmtId="186" fontId="4" fillId="0" borderId="16" xfId="60" applyNumberFormat="1" applyFont="1" applyBorder="1">
      <alignment/>
      <protection/>
    </xf>
    <xf numFmtId="0" fontId="4" fillId="0" borderId="0" xfId="60" applyFont="1" applyAlignment="1">
      <alignment horizontal="left"/>
      <protection/>
    </xf>
    <xf numFmtId="0" fontId="4" fillId="0" borderId="0" xfId="60" applyFont="1" applyAlignment="1">
      <alignment horizontal="center"/>
      <protection/>
    </xf>
    <xf numFmtId="186" fontId="4" fillId="9" borderId="15" xfId="60" applyNumberFormat="1" applyFont="1" applyFill="1" applyBorder="1">
      <alignment/>
      <protection/>
    </xf>
    <xf numFmtId="186" fontId="4" fillId="9" borderId="16" xfId="60" applyNumberFormat="1" applyFont="1" applyFill="1" applyBorder="1">
      <alignment/>
      <protection/>
    </xf>
    <xf numFmtId="49" fontId="4" fillId="0" borderId="0" xfId="60" applyNumberFormat="1" applyFont="1" applyAlignment="1">
      <alignment horizontal="center"/>
      <protection/>
    </xf>
    <xf numFmtId="49" fontId="3" fillId="0" borderId="0" xfId="60" applyNumberFormat="1" applyFont="1" applyAlignment="1">
      <alignment horizontal="center"/>
      <protection/>
    </xf>
    <xf numFmtId="186" fontId="4" fillId="0" borderId="15" xfId="60" applyNumberFormat="1" applyFont="1" applyFill="1" applyBorder="1">
      <alignment/>
      <protection/>
    </xf>
    <xf numFmtId="181" fontId="4" fillId="0" borderId="15" xfId="60" applyNumberFormat="1" applyFont="1" applyBorder="1">
      <alignment/>
      <protection/>
    </xf>
    <xf numFmtId="181" fontId="4" fillId="9" borderId="15" xfId="60" applyNumberFormat="1" applyFont="1" applyFill="1" applyBorder="1">
      <alignment/>
      <protection/>
    </xf>
    <xf numFmtId="181" fontId="4" fillId="9" borderId="16" xfId="60" applyNumberFormat="1" applyFont="1" applyFill="1" applyBorder="1">
      <alignment/>
      <protection/>
    </xf>
    <xf numFmtId="0" fontId="3" fillId="0" borderId="0" xfId="60" applyFont="1" applyAlignment="1">
      <alignment horizontal="left"/>
      <protection/>
    </xf>
    <xf numFmtId="0" fontId="3" fillId="0" borderId="0" xfId="60" applyFont="1" applyAlignment="1">
      <alignment vertical="center"/>
      <protection/>
    </xf>
    <xf numFmtId="49" fontId="3" fillId="0" borderId="0" xfId="60" applyNumberFormat="1" applyFont="1" applyAlignment="1">
      <alignment horizontal="center" vertical="center"/>
      <protection/>
    </xf>
    <xf numFmtId="181" fontId="4" fillId="0" borderId="15" xfId="60" applyNumberFormat="1" applyFont="1" applyFill="1" applyBorder="1">
      <alignment/>
      <protection/>
    </xf>
    <xf numFmtId="0" fontId="99" fillId="0" borderId="0" xfId="60" applyFont="1" applyFill="1">
      <alignment/>
      <protection/>
    </xf>
    <xf numFmtId="0" fontId="4" fillId="0" borderId="0" xfId="60" applyFont="1">
      <alignment/>
      <protection/>
    </xf>
    <xf numFmtId="0" fontId="6" fillId="0" borderId="17" xfId="60" applyFont="1" applyBorder="1" applyAlignment="1">
      <alignment horizontal="center"/>
      <protection/>
    </xf>
    <xf numFmtId="17" fontId="6" fillId="0" borderId="18" xfId="60" applyNumberFormat="1" applyFont="1" applyBorder="1" applyAlignment="1" quotePrefix="1">
      <alignment horizontal="center"/>
      <protection/>
    </xf>
    <xf numFmtId="0" fontId="6" fillId="0" borderId="18" xfId="60" applyFont="1" applyBorder="1">
      <alignment/>
      <protection/>
    </xf>
    <xf numFmtId="10" fontId="6" fillId="0" borderId="18" xfId="60" applyNumberFormat="1" applyFont="1" applyBorder="1">
      <alignment/>
      <protection/>
    </xf>
    <xf numFmtId="0" fontId="6" fillId="0" borderId="18" xfId="60" applyFont="1" applyBorder="1" applyAlignment="1">
      <alignment horizontal="center" wrapText="1"/>
      <protection/>
    </xf>
    <xf numFmtId="10" fontId="100" fillId="0" borderId="19" xfId="60" applyNumberFormat="1" applyFont="1" applyFill="1" applyBorder="1" applyAlignment="1">
      <alignment horizontal="center" wrapText="1"/>
      <protection/>
    </xf>
    <xf numFmtId="0" fontId="6" fillId="0" borderId="20" xfId="60" applyFont="1" applyBorder="1" applyAlignment="1">
      <alignment horizontal="center" wrapText="1"/>
      <protection/>
    </xf>
    <xf numFmtId="0" fontId="4" fillId="0" borderId="15" xfId="60" applyFont="1" applyBorder="1">
      <alignment/>
      <protection/>
    </xf>
    <xf numFmtId="0" fontId="4" fillId="0" borderId="19" xfId="60" applyFont="1" applyBorder="1">
      <alignment/>
      <protection/>
    </xf>
    <xf numFmtId="9" fontId="6" fillId="0" borderId="18" xfId="63" applyFont="1" applyBorder="1" applyAlignment="1">
      <alignment/>
    </xf>
    <xf numFmtId="186" fontId="3" fillId="0" borderId="15" xfId="60" applyNumberFormat="1" applyFont="1" applyBorder="1">
      <alignment/>
      <protection/>
    </xf>
    <xf numFmtId="186" fontId="3" fillId="0" borderId="16" xfId="60" applyNumberFormat="1" applyFont="1" applyBorder="1">
      <alignment/>
      <protection/>
    </xf>
    <xf numFmtId="10" fontId="7" fillId="0" borderId="18" xfId="60" applyNumberFormat="1" applyFont="1" applyBorder="1">
      <alignment/>
      <protection/>
    </xf>
    <xf numFmtId="181" fontId="3" fillId="0" borderId="15" xfId="60" applyNumberFormat="1" applyFont="1" applyBorder="1">
      <alignment/>
      <protection/>
    </xf>
    <xf numFmtId="181" fontId="3" fillId="0" borderId="16" xfId="60" applyNumberFormat="1" applyFont="1" applyBorder="1">
      <alignment/>
      <protection/>
    </xf>
    <xf numFmtId="9" fontId="7" fillId="0" borderId="18" xfId="63" applyFont="1" applyBorder="1" applyAlignment="1">
      <alignment/>
    </xf>
    <xf numFmtId="186" fontId="18" fillId="0" borderId="16" xfId="60" applyNumberFormat="1" applyFont="1" applyBorder="1">
      <alignment/>
      <protection/>
    </xf>
    <xf numFmtId="181" fontId="18" fillId="0" borderId="16" xfId="60" applyNumberFormat="1" applyFont="1" applyBorder="1">
      <alignment/>
      <protection/>
    </xf>
    <xf numFmtId="10" fontId="99" fillId="0" borderId="15" xfId="63" applyNumberFormat="1" applyFont="1" applyBorder="1" applyAlignment="1">
      <alignment/>
    </xf>
    <xf numFmtId="186" fontId="3" fillId="0" borderId="16" xfId="60" applyNumberFormat="1" applyFont="1" applyFill="1" applyBorder="1">
      <alignment/>
      <protection/>
    </xf>
    <xf numFmtId="181" fontId="3" fillId="0" borderId="16" xfId="60" applyNumberFormat="1" applyFont="1" applyFill="1" applyBorder="1">
      <alignment/>
      <protection/>
    </xf>
    <xf numFmtId="49" fontId="4" fillId="0" borderId="0" xfId="60" applyNumberFormat="1" applyFont="1" applyAlignment="1">
      <alignment horizontal="center" vertical="center" wrapText="1"/>
      <protection/>
    </xf>
    <xf numFmtId="178" fontId="2" fillId="0" borderId="0" xfId="42" applyFont="1" applyFill="1" applyAlignment="1">
      <alignment horizontal="center"/>
    </xf>
    <xf numFmtId="0" fontId="101" fillId="0" borderId="0" xfId="0" applyFont="1" applyFill="1" applyAlignment="1">
      <alignment/>
    </xf>
    <xf numFmtId="0" fontId="0" fillId="0" borderId="0" xfId="59" applyFont="1">
      <alignment/>
      <protection/>
    </xf>
    <xf numFmtId="178" fontId="4" fillId="0" borderId="0" xfId="42" applyFont="1" applyBorder="1" applyAlignment="1" quotePrefix="1">
      <alignment wrapText="1"/>
    </xf>
    <xf numFmtId="0" fontId="98" fillId="0" borderId="0" xfId="59" applyFont="1" applyFill="1" applyBorder="1" applyAlignment="1">
      <alignment wrapText="1"/>
      <protection/>
    </xf>
    <xf numFmtId="180" fontId="3" fillId="0" borderId="0" xfId="0" applyNumberFormat="1" applyFont="1" applyFill="1" applyAlignment="1">
      <alignment horizontal="right"/>
    </xf>
    <xf numFmtId="2" fontId="3" fillId="0" borderId="0" xfId="0" applyNumberFormat="1" applyFont="1" applyFill="1" applyAlignment="1">
      <alignment wrapText="1"/>
    </xf>
    <xf numFmtId="1" fontId="3" fillId="0" borderId="0" xfId="0" applyNumberFormat="1" applyFont="1" applyFill="1" applyAlignment="1">
      <alignment horizontal="left" vertical="top"/>
    </xf>
    <xf numFmtId="9" fontId="3" fillId="0" borderId="0" xfId="64" applyFont="1" applyAlignment="1">
      <alignment/>
    </xf>
    <xf numFmtId="0" fontId="14" fillId="0" borderId="13" xfId="60" applyFont="1" applyFill="1" applyBorder="1" applyAlignment="1">
      <alignment horizontal="center" wrapText="1"/>
      <protection/>
    </xf>
    <xf numFmtId="10" fontId="100" fillId="0" borderId="19" xfId="60" applyNumberFormat="1" applyFont="1" applyFill="1" applyBorder="1" applyAlignment="1">
      <alignment horizontal="center"/>
      <protection/>
    </xf>
    <xf numFmtId="186" fontId="14" fillId="0" borderId="16" xfId="60" applyNumberFormat="1" applyFont="1" applyFill="1" applyBorder="1" applyAlignment="1">
      <alignment horizontal="center" vertical="center" wrapText="1"/>
      <protection/>
    </xf>
    <xf numFmtId="0" fontId="4" fillId="0" borderId="16" xfId="60" applyFont="1" applyFill="1" applyBorder="1" applyAlignment="1" quotePrefix="1">
      <alignment horizontal="center"/>
      <protection/>
    </xf>
    <xf numFmtId="0" fontId="99" fillId="0" borderId="16" xfId="60" applyFont="1" applyFill="1" applyBorder="1">
      <alignment/>
      <protection/>
    </xf>
    <xf numFmtId="186" fontId="4" fillId="0" borderId="16" xfId="60" applyNumberFormat="1" applyFont="1" applyFill="1" applyBorder="1">
      <alignment/>
      <protection/>
    </xf>
    <xf numFmtId="0" fontId="99" fillId="0" borderId="14" xfId="60" applyFont="1" applyFill="1" applyBorder="1">
      <alignment/>
      <protection/>
    </xf>
    <xf numFmtId="180" fontId="5" fillId="0" borderId="0" xfId="42" applyNumberFormat="1" applyFont="1" applyAlignment="1">
      <alignment/>
    </xf>
    <xf numFmtId="180" fontId="0" fillId="0" borderId="0" xfId="42" applyNumberFormat="1" applyAlignment="1">
      <alignment/>
    </xf>
    <xf numFmtId="180" fontId="6" fillId="0" borderId="0" xfId="42" applyNumberFormat="1" applyFont="1" applyAlignment="1">
      <alignment/>
    </xf>
    <xf numFmtId="0" fontId="98" fillId="0" borderId="0" xfId="0" applyFont="1" applyFill="1" applyAlignment="1">
      <alignment/>
    </xf>
    <xf numFmtId="182" fontId="4" fillId="0" borderId="0" xfId="0" applyNumberFormat="1" applyFont="1" applyFill="1" applyBorder="1" applyAlignment="1">
      <alignment horizontal="center"/>
    </xf>
    <xf numFmtId="178" fontId="4" fillId="0" borderId="0" xfId="42" applyFont="1" applyAlignment="1" quotePrefix="1">
      <alignment horizontal="center"/>
    </xf>
    <xf numFmtId="9" fontId="4" fillId="0" borderId="0" xfId="42" applyNumberFormat="1" applyFont="1" applyAlignment="1" quotePrefix="1">
      <alignment horizontal="center"/>
    </xf>
    <xf numFmtId="180" fontId="6" fillId="0" borderId="0" xfId="42" applyNumberFormat="1" applyFont="1" applyAlignment="1">
      <alignment horizontal="center"/>
    </xf>
    <xf numFmtId="180" fontId="4" fillId="0" borderId="0" xfId="0" applyNumberFormat="1" applyFont="1" applyAlignment="1">
      <alignment horizontal="center"/>
    </xf>
    <xf numFmtId="180" fontId="4" fillId="0" borderId="0" xfId="42" applyNumberFormat="1" applyFont="1" applyAlignment="1">
      <alignment horizontal="center"/>
    </xf>
    <xf numFmtId="9" fontId="4" fillId="0" borderId="0" xfId="63" applyFont="1" applyAlignment="1">
      <alignment horizontal="center"/>
    </xf>
    <xf numFmtId="192" fontId="3" fillId="0" borderId="0" xfId="42" applyNumberFormat="1" applyFont="1" applyFill="1" applyAlignment="1">
      <alignment/>
    </xf>
    <xf numFmtId="192" fontId="9" fillId="0" borderId="0" xfId="42" applyNumberFormat="1" applyFont="1" applyAlignment="1">
      <alignment wrapText="1"/>
    </xf>
    <xf numFmtId="0" fontId="4" fillId="0" borderId="0" xfId="0" applyFont="1" applyAlignment="1">
      <alignment horizontal="center"/>
    </xf>
    <xf numFmtId="9" fontId="4" fillId="0" borderId="0" xfId="0" applyNumberFormat="1" applyFont="1" applyAlignment="1">
      <alignment horizontal="center"/>
    </xf>
    <xf numFmtId="192" fontId="3" fillId="0" borderId="0" xfId="0" applyNumberFormat="1" applyFont="1" applyFill="1" applyAlignment="1">
      <alignment/>
    </xf>
    <xf numFmtId="192" fontId="3" fillId="0" borderId="0" xfId="0" applyNumberFormat="1" applyFont="1" applyFill="1" applyAlignment="1">
      <alignment horizontal="right"/>
    </xf>
    <xf numFmtId="192" fontId="3" fillId="0" borderId="0" xfId="42" applyNumberFormat="1" applyFont="1" applyFill="1" applyAlignment="1">
      <alignment horizontal="right"/>
    </xf>
    <xf numFmtId="192" fontId="3" fillId="0" borderId="0" xfId="0" applyNumberFormat="1" applyFont="1" applyFill="1" applyAlignment="1">
      <alignment wrapText="1"/>
    </xf>
    <xf numFmtId="192" fontId="3" fillId="0" borderId="0" xfId="42" applyNumberFormat="1" applyFont="1" applyFill="1" applyAlignment="1">
      <alignment wrapText="1"/>
    </xf>
    <xf numFmtId="178" fontId="3" fillId="0" borderId="0" xfId="42" applyFont="1" applyFill="1" applyAlignment="1">
      <alignment wrapText="1"/>
    </xf>
    <xf numFmtId="0" fontId="3" fillId="0" borderId="0" xfId="0" applyFont="1" applyFill="1" applyAlignment="1">
      <alignment vertical="center"/>
    </xf>
    <xf numFmtId="0" fontId="3" fillId="0" borderId="0" xfId="0" applyFont="1" applyFill="1" applyAlignment="1">
      <alignment horizontal="justify" vertical="center"/>
    </xf>
    <xf numFmtId="179" fontId="4" fillId="0" borderId="0" xfId="0" applyNumberFormat="1" applyFont="1" applyFill="1" applyBorder="1" applyAlignment="1">
      <alignment horizontal="center"/>
    </xf>
    <xf numFmtId="180" fontId="2" fillId="0" borderId="0" xfId="0" applyNumberFormat="1" applyFont="1" applyFill="1" applyAlignment="1">
      <alignment horizontal="right"/>
    </xf>
    <xf numFmtId="180" fontId="2" fillId="0" borderId="0" xfId="42" applyNumberFormat="1" applyFont="1" applyFill="1" applyAlignment="1">
      <alignment horizontal="right"/>
    </xf>
    <xf numFmtId="180" fontId="6" fillId="0" borderId="0" xfId="0" applyNumberFormat="1" applyFont="1" applyFill="1" applyAlignment="1">
      <alignment horizontal="right"/>
    </xf>
    <xf numFmtId="180" fontId="6" fillId="0" borderId="0" xfId="42" applyNumberFormat="1" applyFont="1" applyFill="1" applyAlignment="1">
      <alignment horizontal="right"/>
    </xf>
    <xf numFmtId="180" fontId="4" fillId="0" borderId="0" xfId="0" applyNumberFormat="1" applyFont="1" applyFill="1" applyAlignment="1" quotePrefix="1">
      <alignment horizontal="right"/>
    </xf>
    <xf numFmtId="180" fontId="4" fillId="0" borderId="0" xfId="0" applyNumberFormat="1" applyFont="1" applyFill="1" applyAlignment="1">
      <alignment horizontal="right"/>
    </xf>
    <xf numFmtId="180" fontId="4" fillId="0" borderId="0" xfId="42" applyNumberFormat="1" applyFont="1" applyFill="1" applyAlignment="1">
      <alignment horizontal="right"/>
    </xf>
    <xf numFmtId="192" fontId="3" fillId="0" borderId="0" xfId="0" applyNumberFormat="1" applyFont="1" applyFill="1" applyAlignment="1">
      <alignment horizontal="right" wrapText="1"/>
    </xf>
    <xf numFmtId="192" fontId="3" fillId="0" borderId="0" xfId="42" applyNumberFormat="1" applyFont="1" applyFill="1" applyAlignment="1">
      <alignment horizontal="right" wrapText="1"/>
    </xf>
    <xf numFmtId="192" fontId="3" fillId="0" borderId="0" xfId="42" applyNumberFormat="1" applyFont="1" applyFill="1" applyAlignment="1">
      <alignment horizontal="right" vertical="top"/>
    </xf>
    <xf numFmtId="1" fontId="3" fillId="0" borderId="0" xfId="0" applyNumberFormat="1" applyFont="1" applyFill="1" applyAlignment="1">
      <alignment horizontal="right"/>
    </xf>
    <xf numFmtId="0" fontId="2" fillId="0" borderId="0" xfId="0" applyFont="1" applyFill="1" applyAlignment="1">
      <alignment horizontal="right" wrapText="1"/>
    </xf>
    <xf numFmtId="0" fontId="3" fillId="0" borderId="0" xfId="0" applyFont="1" applyFill="1" applyAlignment="1">
      <alignment horizontal="right" wrapText="1"/>
    </xf>
    <xf numFmtId="0" fontId="6" fillId="0" borderId="0" xfId="0" applyFont="1" applyFill="1" applyAlignment="1">
      <alignment horizontal="right" wrapText="1"/>
    </xf>
    <xf numFmtId="0" fontId="4" fillId="0" borderId="0" xfId="0" applyFont="1" applyFill="1" applyAlignment="1">
      <alignment horizontal="right" wrapText="1"/>
    </xf>
    <xf numFmtId="9" fontId="4" fillId="0" borderId="0" xfId="0" applyNumberFormat="1" applyFont="1" applyFill="1" applyAlignment="1">
      <alignment horizontal="right" wrapText="1"/>
    </xf>
    <xf numFmtId="186" fontId="98" fillId="0" borderId="16" xfId="60" applyNumberFormat="1" applyFont="1" applyFill="1" applyBorder="1">
      <alignment/>
      <protection/>
    </xf>
    <xf numFmtId="0" fontId="99" fillId="0" borderId="0" xfId="0" applyFont="1" applyFill="1" applyAlignment="1">
      <alignment/>
    </xf>
    <xf numFmtId="188" fontId="99" fillId="0" borderId="0" xfId="42" applyNumberFormat="1" applyFont="1" applyFill="1" applyAlignment="1">
      <alignment/>
    </xf>
    <xf numFmtId="188" fontId="4" fillId="0" borderId="16" xfId="42" applyNumberFormat="1" applyFont="1" applyFill="1" applyBorder="1" applyAlignment="1" quotePrefix="1">
      <alignment horizontal="center"/>
    </xf>
    <xf numFmtId="188" fontId="99" fillId="0" borderId="16" xfId="42" applyNumberFormat="1" applyFont="1" applyFill="1" applyBorder="1" applyAlignment="1">
      <alignment/>
    </xf>
    <xf numFmtId="188" fontId="4" fillId="0" borderId="16" xfId="42" applyNumberFormat="1" applyFont="1" applyFill="1" applyBorder="1" applyAlignment="1">
      <alignment horizontal="center"/>
    </xf>
    <xf numFmtId="188" fontId="3" fillId="0" borderId="16" xfId="42" applyNumberFormat="1" applyFont="1" applyFill="1" applyBorder="1" applyAlignment="1">
      <alignment/>
    </xf>
    <xf numFmtId="188" fontId="7" fillId="0" borderId="0" xfId="42" applyNumberFormat="1" applyFont="1" applyFill="1" applyAlignment="1">
      <alignment/>
    </xf>
    <xf numFmtId="10" fontId="100" fillId="0" borderId="21" xfId="63" applyNumberFormat="1" applyFont="1" applyFill="1" applyBorder="1" applyAlignment="1">
      <alignment horizontal="center"/>
    </xf>
    <xf numFmtId="180" fontId="2" fillId="0" borderId="0" xfId="42" applyNumberFormat="1" applyFont="1" applyFill="1" applyAlignment="1">
      <alignment/>
    </xf>
    <xf numFmtId="180" fontId="3" fillId="0" borderId="0" xfId="42" applyNumberFormat="1" applyFont="1" applyFill="1" applyBorder="1" applyAlignment="1">
      <alignment/>
    </xf>
    <xf numFmtId="180" fontId="4" fillId="0" borderId="0" xfId="42" applyNumberFormat="1" applyFont="1" applyFill="1" applyBorder="1" applyAlignment="1">
      <alignment horizontal="center"/>
    </xf>
    <xf numFmtId="180" fontId="2" fillId="0" borderId="0" xfId="42" applyNumberFormat="1" applyFont="1" applyFill="1" applyAlignment="1">
      <alignment horizontal="center"/>
    </xf>
    <xf numFmtId="178" fontId="99" fillId="0" borderId="0" xfId="42" applyFont="1" applyFill="1" applyAlignment="1">
      <alignment/>
    </xf>
    <xf numFmtId="178" fontId="14" fillId="0" borderId="22" xfId="42" applyFont="1" applyFill="1" applyBorder="1" applyAlignment="1">
      <alignment horizontal="center" wrapText="1"/>
    </xf>
    <xf numFmtId="178" fontId="14" fillId="0" borderId="16" xfId="42" applyFont="1" applyFill="1" applyBorder="1" applyAlignment="1">
      <alignment horizontal="center" vertical="center" wrapText="1"/>
    </xf>
    <xf numFmtId="178" fontId="4" fillId="0" borderId="16" xfId="42" applyFont="1" applyFill="1" applyBorder="1" applyAlignment="1" quotePrefix="1">
      <alignment horizontal="center"/>
    </xf>
    <xf numFmtId="178" fontId="99" fillId="0" borderId="16" xfId="42" applyFont="1" applyFill="1" applyBorder="1" applyAlignment="1">
      <alignment/>
    </xf>
    <xf numFmtId="178" fontId="4" fillId="0" borderId="16" xfId="42" applyFont="1" applyFill="1" applyBorder="1" applyAlignment="1">
      <alignment horizontal="center"/>
    </xf>
    <xf numFmtId="178" fontId="3" fillId="0" borderId="16" xfId="42" applyFont="1" applyFill="1" applyBorder="1" applyAlignment="1">
      <alignment/>
    </xf>
    <xf numFmtId="178" fontId="3" fillId="0" borderId="19" xfId="42" applyFont="1" applyFill="1" applyBorder="1" applyAlignment="1">
      <alignment/>
    </xf>
    <xf numFmtId="178" fontId="7" fillId="0" borderId="0" xfId="42" applyFont="1" applyFill="1" applyAlignment="1">
      <alignment/>
    </xf>
    <xf numFmtId="189" fontId="3" fillId="0" borderId="16" xfId="42" applyNumberFormat="1" applyFont="1" applyFill="1" applyBorder="1" applyAlignment="1">
      <alignment/>
    </xf>
    <xf numFmtId="181" fontId="3" fillId="0" borderId="0" xfId="42" applyNumberFormat="1" applyFont="1" applyFill="1" applyAlignment="1">
      <alignment/>
    </xf>
    <xf numFmtId="181" fontId="2" fillId="0" borderId="0" xfId="42" applyNumberFormat="1" applyFont="1" applyFill="1" applyAlignment="1">
      <alignment/>
    </xf>
    <xf numFmtId="181" fontId="3" fillId="0" borderId="0" xfId="42" applyNumberFormat="1" applyFont="1" applyFill="1" applyBorder="1" applyAlignment="1">
      <alignment/>
    </xf>
    <xf numFmtId="181" fontId="6" fillId="0" borderId="0" xfId="42" applyNumberFormat="1" applyFont="1" applyFill="1" applyBorder="1" applyAlignment="1" quotePrefix="1">
      <alignment wrapText="1"/>
    </xf>
    <xf numFmtId="181" fontId="4" fillId="0" borderId="0" xfId="42" applyNumberFormat="1" applyFont="1" applyFill="1" applyBorder="1" applyAlignment="1">
      <alignment horizontal="center"/>
    </xf>
    <xf numFmtId="186" fontId="96" fillId="0" borderId="15" xfId="60" applyNumberFormat="1" applyFont="1" applyFill="1" applyBorder="1">
      <alignment/>
      <protection/>
    </xf>
    <xf numFmtId="10" fontId="99" fillId="0" borderId="18" xfId="60" applyNumberFormat="1" applyFont="1" applyFill="1" applyBorder="1">
      <alignment/>
      <protection/>
    </xf>
    <xf numFmtId="178" fontId="3" fillId="0" borderId="16" xfId="42" applyNumberFormat="1" applyFont="1" applyFill="1" applyBorder="1" applyAlignment="1">
      <alignment/>
    </xf>
    <xf numFmtId="0" fontId="2" fillId="0" borderId="0" xfId="59" applyFont="1">
      <alignment/>
      <protection/>
    </xf>
    <xf numFmtId="180" fontId="2" fillId="0" borderId="0" xfId="59" applyNumberFormat="1" applyFont="1">
      <alignment/>
      <protection/>
    </xf>
    <xf numFmtId="0" fontId="5" fillId="0" borderId="0" xfId="59" applyFont="1">
      <alignment/>
      <protection/>
    </xf>
    <xf numFmtId="180" fontId="5" fillId="0" borderId="0" xfId="59" applyNumberFormat="1" applyFont="1">
      <alignment/>
      <protection/>
    </xf>
    <xf numFmtId="0" fontId="8" fillId="0" borderId="0" xfId="59" applyFont="1">
      <alignment/>
      <protection/>
    </xf>
    <xf numFmtId="0" fontId="9" fillId="0" borderId="0" xfId="59" applyFont="1">
      <alignment/>
      <protection/>
    </xf>
    <xf numFmtId="0" fontId="4" fillId="0" borderId="0" xfId="59" applyFont="1">
      <alignment/>
      <protection/>
    </xf>
    <xf numFmtId="0" fontId="4" fillId="0" borderId="0" xfId="59" applyFont="1" quotePrefix="1">
      <alignment/>
      <protection/>
    </xf>
    <xf numFmtId="180" fontId="4" fillId="0" borderId="0" xfId="59" applyNumberFormat="1" applyFont="1" quotePrefix="1">
      <alignment/>
      <protection/>
    </xf>
    <xf numFmtId="9" fontId="4" fillId="0" borderId="0" xfId="59" applyNumberFormat="1" applyFont="1">
      <alignment/>
      <protection/>
    </xf>
    <xf numFmtId="0" fontId="8" fillId="0" borderId="0" xfId="59" applyFont="1" quotePrefix="1">
      <alignment/>
      <protection/>
    </xf>
    <xf numFmtId="0" fontId="6" fillId="0" borderId="0" xfId="59" applyFont="1">
      <alignment/>
      <protection/>
    </xf>
    <xf numFmtId="180" fontId="7" fillId="0" borderId="0" xfId="59" applyNumberFormat="1" applyFont="1">
      <alignment/>
      <protection/>
    </xf>
    <xf numFmtId="180" fontId="6" fillId="0" borderId="0" xfId="59" applyNumberFormat="1" applyFont="1" applyAlignment="1">
      <alignment horizontal="center"/>
      <protection/>
    </xf>
    <xf numFmtId="0" fontId="6" fillId="0" borderId="0" xfId="59" applyFont="1" applyAlignment="1">
      <alignment horizontal="center"/>
      <protection/>
    </xf>
    <xf numFmtId="0" fontId="7" fillId="0" borderId="0" xfId="59" applyFont="1">
      <alignment/>
      <protection/>
    </xf>
    <xf numFmtId="180" fontId="4" fillId="0" borderId="0" xfId="59" applyNumberFormat="1" applyFont="1">
      <alignment/>
      <protection/>
    </xf>
    <xf numFmtId="192" fontId="4" fillId="0" borderId="0" xfId="42" applyNumberFormat="1" applyFont="1" applyFill="1" applyAlignment="1">
      <alignment/>
    </xf>
    <xf numFmtId="9" fontId="3" fillId="0" borderId="0" xfId="59" applyNumberFormat="1" applyFont="1">
      <alignment/>
      <protection/>
    </xf>
    <xf numFmtId="192" fontId="3" fillId="0" borderId="0" xfId="59" applyNumberFormat="1" applyFont="1">
      <alignment/>
      <protection/>
    </xf>
    <xf numFmtId="1" fontId="3" fillId="0" borderId="0" xfId="59" applyNumberFormat="1" applyFont="1" applyFill="1">
      <alignment/>
      <protection/>
    </xf>
    <xf numFmtId="0" fontId="9" fillId="0" borderId="0" xfId="59" applyFont="1" applyAlignment="1">
      <alignment wrapText="1"/>
      <protection/>
    </xf>
    <xf numFmtId="192" fontId="9" fillId="0" borderId="0" xfId="59" applyNumberFormat="1" applyFont="1" applyAlignment="1">
      <alignment wrapText="1"/>
      <protection/>
    </xf>
    <xf numFmtId="178" fontId="8" fillId="0" borderId="0" xfId="42" applyFont="1" applyAlignment="1">
      <alignment/>
    </xf>
    <xf numFmtId="178" fontId="3" fillId="34" borderId="16" xfId="42" applyFont="1" applyFill="1" applyBorder="1" applyAlignment="1">
      <alignment/>
    </xf>
    <xf numFmtId="178" fontId="3" fillId="8" borderId="16" xfId="42" applyFont="1" applyFill="1" applyBorder="1" applyAlignment="1">
      <alignment/>
    </xf>
    <xf numFmtId="188" fontId="3" fillId="8" borderId="16" xfId="42" applyNumberFormat="1" applyFont="1" applyFill="1" applyBorder="1" applyAlignment="1">
      <alignment/>
    </xf>
    <xf numFmtId="188" fontId="98" fillId="34" borderId="16" xfId="42" applyNumberFormat="1" applyFont="1" applyFill="1" applyBorder="1" applyAlignment="1">
      <alignment/>
    </xf>
    <xf numFmtId="190" fontId="3" fillId="0" borderId="0" xfId="42" applyNumberFormat="1" applyFont="1" applyFill="1" applyAlignment="1">
      <alignment/>
    </xf>
    <xf numFmtId="178" fontId="98" fillId="0" borderId="16" xfId="42" applyNumberFormat="1" applyFont="1" applyFill="1" applyBorder="1" applyAlignment="1">
      <alignment/>
    </xf>
    <xf numFmtId="178" fontId="3" fillId="0" borderId="19" xfId="42" applyNumberFormat="1" applyFont="1" applyFill="1" applyBorder="1" applyAlignment="1">
      <alignment/>
    </xf>
    <xf numFmtId="0" fontId="102" fillId="0" borderId="15" xfId="60" applyFont="1" applyBorder="1" applyAlignment="1">
      <alignment horizontal="center"/>
      <protection/>
    </xf>
    <xf numFmtId="181" fontId="6" fillId="0" borderId="0" xfId="42" applyNumberFormat="1" applyFont="1" applyFill="1" applyAlignment="1">
      <alignment/>
    </xf>
    <xf numFmtId="192" fontId="6" fillId="0" borderId="0" xfId="42" applyNumberFormat="1" applyFont="1" applyFill="1" applyAlignment="1">
      <alignment/>
    </xf>
    <xf numFmtId="192" fontId="3" fillId="0" borderId="0" xfId="42" applyNumberFormat="1" applyFont="1" applyFill="1" applyBorder="1" applyAlignment="1">
      <alignment/>
    </xf>
    <xf numFmtId="179" fontId="3" fillId="0" borderId="0" xfId="63" applyNumberFormat="1" applyFont="1" applyBorder="1" applyAlignment="1">
      <alignment/>
    </xf>
    <xf numFmtId="172" fontId="3" fillId="0" borderId="0" xfId="42" applyNumberFormat="1" applyFont="1" applyAlignment="1">
      <alignment/>
    </xf>
    <xf numFmtId="0" fontId="4" fillId="0" borderId="0" xfId="0" applyFont="1" applyFill="1" applyBorder="1" applyAlignment="1">
      <alignment wrapText="1"/>
    </xf>
    <xf numFmtId="9" fontId="2" fillId="0" borderId="0" xfId="0" applyNumberFormat="1" applyFont="1" applyAlignment="1">
      <alignment/>
    </xf>
    <xf numFmtId="1" fontId="4" fillId="0" borderId="0" xfId="59" applyNumberFormat="1" applyFont="1" applyFill="1">
      <alignment/>
      <protection/>
    </xf>
    <xf numFmtId="9" fontId="4" fillId="0" borderId="0" xfId="64" applyNumberFormat="1" applyFont="1" applyAlignment="1">
      <alignment/>
    </xf>
    <xf numFmtId="0" fontId="97" fillId="0" borderId="0" xfId="59" applyFont="1" applyBorder="1" applyAlignment="1">
      <alignment wrapText="1"/>
      <protection/>
    </xf>
    <xf numFmtId="0" fontId="0" fillId="0" borderId="0" xfId="59" applyAlignment="1">
      <alignment wrapText="1"/>
      <protection/>
    </xf>
    <xf numFmtId="0" fontId="0" fillId="0" borderId="0" xfId="59" applyFont="1" applyAlignment="1">
      <alignment wrapText="1"/>
      <protection/>
    </xf>
    <xf numFmtId="180" fontId="0" fillId="0" borderId="0" xfId="42" applyNumberFormat="1" applyAlignment="1">
      <alignment wrapText="1"/>
    </xf>
    <xf numFmtId="0" fontId="103" fillId="0" borderId="0" xfId="59" applyFont="1" applyBorder="1" applyAlignment="1">
      <alignment wrapText="1"/>
      <protection/>
    </xf>
    <xf numFmtId="0" fontId="4" fillId="0" borderId="0" xfId="59" applyFont="1" applyBorder="1" applyAlignment="1">
      <alignment wrapText="1"/>
      <protection/>
    </xf>
    <xf numFmtId="180" fontId="96" fillId="0" borderId="0" xfId="42" applyNumberFormat="1" applyFont="1" applyBorder="1" applyAlignment="1">
      <alignment wrapText="1"/>
    </xf>
    <xf numFmtId="0" fontId="102" fillId="0" borderId="0" xfId="59" applyFont="1" applyBorder="1" applyAlignment="1">
      <alignment wrapText="1"/>
      <protection/>
    </xf>
    <xf numFmtId="0" fontId="10" fillId="0" borderId="0" xfId="59" applyFont="1" applyAlignment="1">
      <alignment horizontal="center" wrapText="1"/>
      <protection/>
    </xf>
    <xf numFmtId="180" fontId="10" fillId="0" borderId="0" xfId="42" applyNumberFormat="1" applyFont="1" applyAlignment="1">
      <alignment horizontal="center" wrapText="1"/>
    </xf>
    <xf numFmtId="9" fontId="10" fillId="0" borderId="0" xfId="59" applyNumberFormat="1" applyFont="1" applyAlignment="1">
      <alignment horizontal="center" wrapText="1"/>
      <protection/>
    </xf>
    <xf numFmtId="9" fontId="3" fillId="0" borderId="0" xfId="64" applyFont="1" applyBorder="1" applyAlignment="1">
      <alignment wrapText="1"/>
    </xf>
    <xf numFmtId="180" fontId="3" fillId="0" borderId="0" xfId="59" applyNumberFormat="1" applyFont="1" applyBorder="1" applyAlignment="1">
      <alignment wrapText="1"/>
      <protection/>
    </xf>
    <xf numFmtId="9" fontId="3" fillId="0" borderId="0" xfId="64" applyNumberFormat="1" applyFont="1" applyAlignment="1">
      <alignment wrapText="1"/>
    </xf>
    <xf numFmtId="2" fontId="98" fillId="0" borderId="0" xfId="59" applyNumberFormat="1" applyFont="1" applyBorder="1" applyAlignment="1">
      <alignment wrapText="1"/>
      <protection/>
    </xf>
    <xf numFmtId="4" fontId="98" fillId="0" borderId="0" xfId="59" applyNumberFormat="1" applyFont="1" applyBorder="1" applyAlignment="1">
      <alignment wrapText="1"/>
      <protection/>
    </xf>
    <xf numFmtId="180" fontId="0" fillId="0" borderId="0" xfId="59" applyNumberFormat="1" applyAlignment="1">
      <alignment wrapText="1"/>
      <protection/>
    </xf>
    <xf numFmtId="0" fontId="98" fillId="0" borderId="0" xfId="59" applyFont="1" applyBorder="1" applyAlignment="1">
      <alignment horizontal="left" wrapText="1"/>
      <protection/>
    </xf>
    <xf numFmtId="178" fontId="98" fillId="0" borderId="0" xfId="42" applyFont="1" applyBorder="1" applyAlignment="1">
      <alignment horizontal="right" wrapText="1"/>
    </xf>
    <xf numFmtId="9" fontId="4" fillId="0" borderId="0" xfId="64" applyFont="1" applyBorder="1" applyAlignment="1">
      <alignment wrapText="1"/>
    </xf>
    <xf numFmtId="180" fontId="10" fillId="0" borderId="0" xfId="59" applyNumberFormat="1" applyFont="1" applyAlignment="1">
      <alignment wrapText="1"/>
      <protection/>
    </xf>
    <xf numFmtId="180" fontId="104" fillId="0" borderId="0" xfId="59" applyNumberFormat="1" applyFont="1" applyBorder="1" applyAlignment="1">
      <alignment wrapText="1"/>
      <protection/>
    </xf>
    <xf numFmtId="4" fontId="98" fillId="0" borderId="0" xfId="59" applyNumberFormat="1" applyFont="1" applyFill="1" applyBorder="1" applyAlignment="1">
      <alignment wrapText="1"/>
      <protection/>
    </xf>
    <xf numFmtId="9" fontId="3" fillId="0" borderId="0" xfId="64" applyFont="1" applyFill="1" applyBorder="1" applyAlignment="1">
      <alignment wrapText="1"/>
    </xf>
    <xf numFmtId="178" fontId="3" fillId="0" borderId="0" xfId="59" applyNumberFormat="1" applyFont="1" applyFill="1" applyBorder="1" applyAlignment="1">
      <alignment wrapText="1"/>
      <protection/>
    </xf>
    <xf numFmtId="0" fontId="98" fillId="0" borderId="0" xfId="59" applyFont="1" applyBorder="1" applyAlignment="1">
      <alignment horizontal="right" wrapText="1"/>
      <protection/>
    </xf>
    <xf numFmtId="0" fontId="10" fillId="0" borderId="0" xfId="59" applyFont="1" applyAlignment="1">
      <alignment wrapText="1"/>
      <protection/>
    </xf>
    <xf numFmtId="178" fontId="4" fillId="0" borderId="0" xfId="42" applyFont="1" applyFill="1" applyAlignment="1">
      <alignment wrapText="1"/>
    </xf>
    <xf numFmtId="2" fontId="96" fillId="0" borderId="0" xfId="59" applyNumberFormat="1" applyFont="1" applyBorder="1" applyAlignment="1">
      <alignment wrapText="1"/>
      <protection/>
    </xf>
    <xf numFmtId="0" fontId="3" fillId="0" borderId="0" xfId="59" applyFont="1" applyBorder="1" applyAlignment="1">
      <alignment horizontal="left" wrapText="1"/>
      <protection/>
    </xf>
    <xf numFmtId="0" fontId="98" fillId="0" borderId="0" xfId="59" applyFont="1" applyFill="1" applyBorder="1" applyAlignment="1">
      <alignment horizontal="left" wrapText="1"/>
      <protection/>
    </xf>
    <xf numFmtId="178" fontId="104" fillId="0" borderId="0" xfId="59" applyNumberFormat="1" applyFont="1" applyFill="1" applyBorder="1" applyAlignment="1">
      <alignment wrapText="1"/>
      <protection/>
    </xf>
    <xf numFmtId="2" fontId="3" fillId="0" borderId="0" xfId="59" applyNumberFormat="1" applyFont="1" applyFill="1" applyAlignment="1">
      <alignment wrapText="1"/>
      <protection/>
    </xf>
    <xf numFmtId="192" fontId="3" fillId="0" borderId="0" xfId="59" applyNumberFormat="1" applyFont="1" applyFill="1" applyAlignment="1">
      <alignment horizontal="right" wrapText="1"/>
      <protection/>
    </xf>
    <xf numFmtId="180" fontId="104" fillId="0" borderId="0" xfId="42" applyNumberFormat="1" applyFont="1" applyBorder="1" applyAlignment="1">
      <alignment horizontal="right" wrapText="1"/>
    </xf>
    <xf numFmtId="180" fontId="104" fillId="0" borderId="0" xfId="59" applyNumberFormat="1" applyFont="1" applyBorder="1" applyAlignment="1">
      <alignment horizontal="right" wrapText="1"/>
      <protection/>
    </xf>
    <xf numFmtId="0" fontId="105" fillId="0" borderId="0" xfId="59" applyFont="1" applyAlignment="1">
      <alignment wrapText="1"/>
      <protection/>
    </xf>
    <xf numFmtId="180" fontId="105" fillId="0" borderId="0" xfId="59" applyNumberFormat="1" applyFont="1" applyAlignment="1">
      <alignment wrapText="1"/>
      <protection/>
    </xf>
    <xf numFmtId="4" fontId="96" fillId="0" borderId="0" xfId="59" applyNumberFormat="1" applyFont="1" applyBorder="1" applyAlignment="1">
      <alignment wrapText="1"/>
      <protection/>
    </xf>
    <xf numFmtId="180" fontId="106" fillId="0" borderId="0" xfId="59" applyNumberFormat="1" applyFont="1" applyAlignment="1">
      <alignment wrapText="1"/>
      <protection/>
    </xf>
    <xf numFmtId="2" fontId="3" fillId="0" borderId="0" xfId="59" applyNumberFormat="1" applyFont="1" applyBorder="1" applyAlignment="1">
      <alignment wrapText="1"/>
      <protection/>
    </xf>
    <xf numFmtId="180" fontId="3" fillId="0" borderId="0" xfId="42" applyNumberFormat="1" applyFont="1" applyBorder="1" applyAlignment="1">
      <alignment wrapText="1"/>
    </xf>
    <xf numFmtId="0" fontId="6" fillId="0" borderId="0" xfId="0" applyFont="1" applyAlignment="1">
      <alignment wrapText="1"/>
    </xf>
    <xf numFmtId="180" fontId="4" fillId="0" borderId="0" xfId="42" applyNumberFormat="1" applyFont="1" applyFill="1" applyAlignment="1" quotePrefix="1">
      <alignment horizontal="right" wrapText="1"/>
    </xf>
    <xf numFmtId="0" fontId="3" fillId="0" borderId="0" xfId="60" applyFont="1" applyFill="1">
      <alignment/>
      <protection/>
    </xf>
    <xf numFmtId="10" fontId="6" fillId="0" borderId="18" xfId="60" applyNumberFormat="1" applyFont="1" applyFill="1" applyBorder="1">
      <alignment/>
      <protection/>
    </xf>
    <xf numFmtId="10" fontId="99" fillId="0" borderId="15" xfId="63" applyNumberFormat="1"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186" fontId="100" fillId="0" borderId="16" xfId="60" applyNumberFormat="1" applyFont="1" applyFill="1" applyBorder="1">
      <alignment/>
      <protection/>
    </xf>
    <xf numFmtId="178" fontId="100" fillId="0" borderId="16" xfId="42" applyNumberFormat="1" applyFont="1" applyFill="1" applyBorder="1" applyAlignment="1">
      <alignment/>
    </xf>
    <xf numFmtId="0" fontId="99" fillId="0" borderId="15" xfId="60" applyFont="1" applyFill="1" applyBorder="1">
      <alignment/>
      <protection/>
    </xf>
    <xf numFmtId="0" fontId="6" fillId="0" borderId="18" xfId="60" applyFont="1" applyFill="1" applyBorder="1">
      <alignment/>
      <protection/>
    </xf>
    <xf numFmtId="0" fontId="4" fillId="0" borderId="0" xfId="60" applyFont="1" applyFill="1" applyAlignment="1">
      <alignment horizontal="left"/>
      <protection/>
    </xf>
    <xf numFmtId="49" fontId="4" fillId="0" borderId="0" xfId="60" applyNumberFormat="1" applyFont="1" applyFill="1" applyAlignment="1">
      <alignment horizontal="left"/>
      <protection/>
    </xf>
    <xf numFmtId="0" fontId="4" fillId="0" borderId="0" xfId="60" applyFont="1" applyFill="1" applyAlignment="1">
      <alignment horizontal="center"/>
      <protection/>
    </xf>
    <xf numFmtId="49" fontId="4" fillId="0" borderId="0" xfId="60" applyNumberFormat="1" applyFont="1" applyFill="1" applyAlignment="1">
      <alignment horizontal="center"/>
      <protection/>
    </xf>
    <xf numFmtId="49" fontId="3" fillId="0" borderId="0" xfId="60" applyNumberFormat="1" applyFont="1" applyFill="1" applyAlignment="1">
      <alignment horizontal="center"/>
      <protection/>
    </xf>
    <xf numFmtId="178" fontId="104" fillId="0" borderId="16" xfId="42" applyNumberFormat="1" applyFont="1" applyFill="1" applyBorder="1" applyAlignment="1">
      <alignment/>
    </xf>
    <xf numFmtId="188" fontId="4" fillId="0" borderId="16" xfId="42" applyNumberFormat="1" applyFont="1" applyFill="1" applyBorder="1" applyAlignment="1">
      <alignment horizontal="center" vertical="center" wrapText="1"/>
    </xf>
    <xf numFmtId="0" fontId="4" fillId="0" borderId="0" xfId="60" applyFont="1" applyFill="1" applyAlignment="1">
      <alignment horizontal="left" wrapText="1"/>
      <protection/>
    </xf>
    <xf numFmtId="0" fontId="100" fillId="0" borderId="0" xfId="0" applyFont="1" applyAlignment="1">
      <alignment/>
    </xf>
    <xf numFmtId="178" fontId="100" fillId="0" borderId="0" xfId="42" applyFont="1" applyAlignment="1">
      <alignment/>
    </xf>
    <xf numFmtId="181" fontId="100" fillId="0" borderId="0" xfId="42" applyNumberFormat="1" applyFont="1" applyFill="1" applyAlignment="1">
      <alignment/>
    </xf>
    <xf numFmtId="192" fontId="100" fillId="0" borderId="0" xfId="42" applyNumberFormat="1" applyFont="1" applyFill="1" applyAlignment="1">
      <alignment/>
    </xf>
    <xf numFmtId="180" fontId="100" fillId="0" borderId="0" xfId="42" applyNumberFormat="1" applyFont="1" applyAlignment="1">
      <alignment/>
    </xf>
    <xf numFmtId="9" fontId="100" fillId="0" borderId="0" xfId="0" applyNumberFormat="1" applyFont="1" applyAlignment="1">
      <alignment/>
    </xf>
    <xf numFmtId="10" fontId="4" fillId="0" borderId="21" xfId="63" applyNumberFormat="1" applyFont="1" applyFill="1" applyBorder="1" applyAlignment="1">
      <alignment horizontal="center"/>
    </xf>
    <xf numFmtId="0" fontId="100" fillId="0" borderId="0" xfId="0" applyFont="1" applyFill="1" applyBorder="1" applyAlignment="1">
      <alignment horizontal="justify"/>
    </xf>
    <xf numFmtId="2" fontId="100" fillId="0" borderId="0" xfId="0" applyNumberFormat="1" applyFont="1" applyFill="1" applyBorder="1" applyAlignment="1">
      <alignment/>
    </xf>
    <xf numFmtId="178" fontId="100" fillId="0" borderId="0" xfId="42" applyFont="1" applyFill="1" applyBorder="1" applyAlignment="1">
      <alignment/>
    </xf>
    <xf numFmtId="0" fontId="100" fillId="0" borderId="0" xfId="0" applyFont="1" applyFill="1" applyBorder="1" applyAlignment="1">
      <alignment/>
    </xf>
    <xf numFmtId="181" fontId="100" fillId="0" borderId="0" xfId="42" applyNumberFormat="1" applyFont="1" applyFill="1" applyBorder="1" applyAlignment="1">
      <alignment/>
    </xf>
    <xf numFmtId="192" fontId="100" fillId="0" borderId="0" xfId="42" applyNumberFormat="1" applyFont="1" applyFill="1" applyBorder="1" applyAlignment="1">
      <alignment/>
    </xf>
    <xf numFmtId="192" fontId="104" fillId="0" borderId="0" xfId="42" applyNumberFormat="1" applyFont="1" applyFill="1" applyAlignment="1">
      <alignment/>
    </xf>
    <xf numFmtId="0" fontId="100" fillId="0" borderId="0" xfId="0" applyFont="1" applyFill="1" applyAlignment="1">
      <alignment wrapText="1"/>
    </xf>
    <xf numFmtId="180" fontId="100" fillId="0" borderId="0" xfId="42" applyNumberFormat="1" applyFont="1" applyAlignment="1">
      <alignment wrapText="1"/>
    </xf>
    <xf numFmtId="180" fontId="100" fillId="0" borderId="0" xfId="0" applyNumberFormat="1" applyFont="1" applyAlignment="1">
      <alignment wrapText="1"/>
    </xf>
    <xf numFmtId="10" fontId="3" fillId="0" borderId="0" xfId="63" applyNumberFormat="1" applyFont="1" applyBorder="1" applyAlignment="1">
      <alignment/>
    </xf>
    <xf numFmtId="0" fontId="2" fillId="35" borderId="0" xfId="0" applyFont="1" applyFill="1" applyAlignment="1">
      <alignment/>
    </xf>
    <xf numFmtId="0" fontId="3" fillId="35" borderId="10" xfId="0" applyFont="1" applyFill="1" applyBorder="1" applyAlignment="1">
      <alignment wrapText="1"/>
    </xf>
    <xf numFmtId="180" fontId="3" fillId="35" borderId="10" xfId="42" applyNumberFormat="1" applyFont="1" applyFill="1" applyBorder="1" applyAlignment="1">
      <alignment horizontal="left"/>
    </xf>
    <xf numFmtId="0" fontId="3" fillId="35" borderId="10" xfId="0" applyFont="1" applyFill="1" applyBorder="1" applyAlignment="1">
      <alignment horizontal="left" wrapText="1"/>
    </xf>
    <xf numFmtId="0" fontId="4" fillId="35" borderId="10" xfId="0" applyFont="1" applyFill="1" applyBorder="1" applyAlignment="1">
      <alignment horizontal="left" wrapText="1"/>
    </xf>
    <xf numFmtId="0" fontId="4" fillId="35" borderId="10" xfId="0" applyFont="1" applyFill="1" applyBorder="1" applyAlignment="1">
      <alignment horizontal="left"/>
    </xf>
    <xf numFmtId="0" fontId="3" fillId="35" borderId="0" xfId="0" applyFont="1" applyFill="1" applyAlignment="1">
      <alignment/>
    </xf>
    <xf numFmtId="0" fontId="4" fillId="35" borderId="10" xfId="0" applyFont="1" applyFill="1" applyBorder="1" applyAlignment="1">
      <alignment wrapText="1"/>
    </xf>
    <xf numFmtId="0" fontId="4" fillId="36" borderId="10" xfId="0" applyFont="1" applyFill="1" applyBorder="1" applyAlignment="1">
      <alignment wrapText="1"/>
    </xf>
    <xf numFmtId="180" fontId="4" fillId="36" borderId="10" xfId="0" applyNumberFormat="1" applyFont="1" applyFill="1" applyBorder="1" applyAlignment="1" quotePrefix="1">
      <alignment horizontal="left"/>
    </xf>
    <xf numFmtId="180" fontId="4" fillId="36" borderId="10" xfId="42" applyNumberFormat="1" applyFont="1" applyFill="1" applyBorder="1" applyAlignment="1" quotePrefix="1">
      <alignment horizontal="left"/>
    </xf>
    <xf numFmtId="0" fontId="4" fillId="36" borderId="10" xfId="0" applyFont="1" applyFill="1" applyBorder="1" applyAlignment="1">
      <alignment horizontal="left" wrapText="1"/>
    </xf>
    <xf numFmtId="0" fontId="4" fillId="36" borderId="10" xfId="0" applyFont="1" applyFill="1" applyBorder="1" applyAlignment="1">
      <alignment horizontal="left"/>
    </xf>
    <xf numFmtId="0" fontId="4" fillId="35" borderId="0" xfId="0" applyFont="1" applyFill="1" applyAlignment="1">
      <alignment/>
    </xf>
    <xf numFmtId="180" fontId="4" fillId="35" borderId="10" xfId="0" applyNumberFormat="1" applyFont="1" applyFill="1" applyBorder="1" applyAlignment="1">
      <alignment horizontal="left"/>
    </xf>
    <xf numFmtId="180" fontId="4" fillId="35" borderId="10" xfId="42" applyNumberFormat="1" applyFont="1" applyFill="1" applyBorder="1" applyAlignment="1">
      <alignment horizontal="left"/>
    </xf>
    <xf numFmtId="9" fontId="4" fillId="35" borderId="10" xfId="0" applyNumberFormat="1" applyFont="1" applyFill="1" applyBorder="1" applyAlignment="1">
      <alignment horizontal="left" wrapText="1"/>
    </xf>
    <xf numFmtId="180" fontId="4" fillId="36" borderId="10" xfId="0" applyNumberFormat="1" applyFont="1" applyFill="1" applyBorder="1" applyAlignment="1">
      <alignment horizontal="left"/>
    </xf>
    <xf numFmtId="180" fontId="4" fillId="36" borderId="10" xfId="42" applyNumberFormat="1" applyFont="1" applyFill="1" applyBorder="1" applyAlignment="1">
      <alignment horizontal="left"/>
    </xf>
    <xf numFmtId="9" fontId="4" fillId="36" borderId="10" xfId="0" applyNumberFormat="1" applyFont="1" applyFill="1" applyBorder="1" applyAlignment="1">
      <alignment horizontal="left" wrapText="1"/>
    </xf>
    <xf numFmtId="0" fontId="3" fillId="35" borderId="10" xfId="0" applyNumberFormat="1" applyFont="1" applyFill="1" applyBorder="1" applyAlignment="1">
      <alignment horizontal="left"/>
    </xf>
    <xf numFmtId="7" fontId="3" fillId="35" borderId="10" xfId="42" applyNumberFormat="1" applyFont="1" applyFill="1" applyBorder="1" applyAlignment="1">
      <alignment horizontal="left"/>
    </xf>
    <xf numFmtId="9" fontId="3" fillId="35" borderId="10" xfId="0" applyNumberFormat="1" applyFont="1" applyFill="1" applyBorder="1" applyAlignment="1">
      <alignment horizontal="left" wrapText="1"/>
    </xf>
    <xf numFmtId="7" fontId="4" fillId="35" borderId="10" xfId="0" applyNumberFormat="1" applyFont="1" applyFill="1" applyBorder="1" applyAlignment="1">
      <alignment horizontal="left"/>
    </xf>
    <xf numFmtId="1" fontId="4" fillId="36" borderId="10" xfId="0" applyNumberFormat="1" applyFont="1" applyFill="1" applyBorder="1" applyAlignment="1">
      <alignment horizontal="left"/>
    </xf>
    <xf numFmtId="7" fontId="4" fillId="36" borderId="10" xfId="42" applyNumberFormat="1" applyFont="1" applyFill="1" applyBorder="1" applyAlignment="1">
      <alignment horizontal="left"/>
    </xf>
    <xf numFmtId="7" fontId="4" fillId="36" borderId="10" xfId="0" applyNumberFormat="1" applyFont="1" applyFill="1" applyBorder="1" applyAlignment="1">
      <alignment horizontal="left"/>
    </xf>
    <xf numFmtId="1" fontId="3" fillId="35" borderId="10" xfId="0" applyNumberFormat="1" applyFont="1" applyFill="1" applyBorder="1" applyAlignment="1">
      <alignment horizontal="left"/>
    </xf>
    <xf numFmtId="1" fontId="4" fillId="35" borderId="10" xfId="0" applyNumberFormat="1" applyFont="1" applyFill="1" applyBorder="1" applyAlignment="1">
      <alignment horizontal="left"/>
    </xf>
    <xf numFmtId="192" fontId="3" fillId="35" borderId="10" xfId="42" applyNumberFormat="1" applyFont="1" applyFill="1" applyBorder="1" applyAlignment="1">
      <alignment horizontal="left"/>
    </xf>
    <xf numFmtId="9" fontId="3" fillId="35" borderId="10" xfId="64" applyNumberFormat="1" applyFont="1" applyFill="1" applyBorder="1" applyAlignment="1">
      <alignment horizontal="left" wrapText="1"/>
    </xf>
    <xf numFmtId="192" fontId="4" fillId="35" borderId="10" xfId="0" applyNumberFormat="1" applyFont="1" applyFill="1" applyBorder="1" applyAlignment="1">
      <alignment horizontal="left"/>
    </xf>
    <xf numFmtId="192" fontId="3" fillId="35" borderId="10" xfId="0" applyNumberFormat="1" applyFont="1" applyFill="1" applyBorder="1" applyAlignment="1">
      <alignment horizontal="left"/>
    </xf>
    <xf numFmtId="181" fontId="3" fillId="35" borderId="10" xfId="42" applyNumberFormat="1" applyFont="1" applyFill="1" applyBorder="1" applyAlignment="1">
      <alignment horizontal="left"/>
    </xf>
    <xf numFmtId="0" fontId="3" fillId="35" borderId="10" xfId="0" applyFont="1" applyFill="1" applyBorder="1" applyAlignment="1">
      <alignment horizontal="left" vertical="top" wrapText="1"/>
    </xf>
    <xf numFmtId="178" fontId="4" fillId="35" borderId="10" xfId="42" applyFont="1" applyFill="1" applyBorder="1" applyAlignment="1">
      <alignment horizontal="left" vertical="top" wrapText="1"/>
    </xf>
    <xf numFmtId="7" fontId="4" fillId="35" borderId="10" xfId="42" applyNumberFormat="1" applyFont="1" applyFill="1" applyBorder="1" applyAlignment="1">
      <alignment horizontal="left" vertical="top" wrapText="1"/>
    </xf>
    <xf numFmtId="192" fontId="4" fillId="35" borderId="10" xfId="42" applyNumberFormat="1" applyFont="1" applyFill="1" applyBorder="1" applyAlignment="1">
      <alignment horizontal="left"/>
    </xf>
    <xf numFmtId="9" fontId="4" fillId="35" borderId="10" xfId="64" applyNumberFormat="1" applyFont="1" applyFill="1" applyBorder="1" applyAlignment="1">
      <alignment horizontal="left" wrapText="1"/>
    </xf>
    <xf numFmtId="193" fontId="4" fillId="35" borderId="10" xfId="0" applyNumberFormat="1" applyFont="1" applyFill="1" applyBorder="1" applyAlignment="1">
      <alignment horizontal="left"/>
    </xf>
    <xf numFmtId="0" fontId="104" fillId="35" borderId="10" xfId="0" applyFont="1" applyFill="1" applyBorder="1" applyAlignment="1">
      <alignment wrapText="1"/>
    </xf>
    <xf numFmtId="192" fontId="104" fillId="35" borderId="10" xfId="42" applyNumberFormat="1" applyFont="1" applyFill="1" applyBorder="1" applyAlignment="1">
      <alignment horizontal="left"/>
    </xf>
    <xf numFmtId="9" fontId="104" fillId="35" borderId="10" xfId="64" applyNumberFormat="1" applyFont="1" applyFill="1" applyBorder="1" applyAlignment="1">
      <alignment horizontal="left" wrapText="1"/>
    </xf>
    <xf numFmtId="193" fontId="100" fillId="35" borderId="10" xfId="0" applyNumberFormat="1" applyFont="1" applyFill="1" applyBorder="1" applyAlignment="1">
      <alignment horizontal="left"/>
    </xf>
    <xf numFmtId="0" fontId="104" fillId="35" borderId="0" xfId="0" applyFont="1" applyFill="1" applyAlignment="1">
      <alignment/>
    </xf>
    <xf numFmtId="0" fontId="0" fillId="35" borderId="0" xfId="0" applyFont="1" applyFill="1" applyAlignment="1">
      <alignment/>
    </xf>
    <xf numFmtId="0" fontId="4" fillId="36" borderId="10" xfId="0" applyFont="1" applyFill="1" applyBorder="1" applyAlignment="1">
      <alignment vertical="top" wrapText="1"/>
    </xf>
    <xf numFmtId="192" fontId="3" fillId="35" borderId="10" xfId="0" applyNumberFormat="1" applyFont="1" applyFill="1" applyBorder="1" applyAlignment="1">
      <alignment horizontal="left" wrapText="1"/>
    </xf>
    <xf numFmtId="0" fontId="3" fillId="35" borderId="10" xfId="0" applyFont="1" applyFill="1" applyBorder="1" applyAlignment="1">
      <alignment vertical="center" wrapText="1"/>
    </xf>
    <xf numFmtId="0" fontId="3" fillId="35" borderId="10" xfId="0" applyFont="1" applyFill="1" applyBorder="1" applyAlignment="1">
      <alignment horizontal="justify" vertical="center" wrapText="1"/>
    </xf>
    <xf numFmtId="192" fontId="3" fillId="35" borderId="10" xfId="42" applyNumberFormat="1" applyFont="1" applyFill="1" applyBorder="1" applyAlignment="1">
      <alignment horizontal="left" vertical="top"/>
    </xf>
    <xf numFmtId="0" fontId="3" fillId="35" borderId="0" xfId="0" applyFont="1" applyFill="1" applyAlignment="1">
      <alignment wrapText="1"/>
    </xf>
    <xf numFmtId="180" fontId="3" fillId="35" borderId="0" xfId="0" applyNumberFormat="1" applyFont="1" applyFill="1" applyAlignment="1">
      <alignment horizontal="left"/>
    </xf>
    <xf numFmtId="180" fontId="3" fillId="35" borderId="0" xfId="42" applyNumberFormat="1" applyFont="1" applyFill="1" applyAlignment="1">
      <alignment horizontal="left"/>
    </xf>
    <xf numFmtId="0" fontId="3" fillId="35" borderId="0" xfId="0" applyFont="1" applyFill="1" applyAlignment="1">
      <alignment horizontal="left" wrapText="1"/>
    </xf>
    <xf numFmtId="193" fontId="4" fillId="35" borderId="0" xfId="0" applyNumberFormat="1" applyFont="1" applyFill="1" applyAlignment="1">
      <alignment horizontal="left" wrapText="1"/>
    </xf>
    <xf numFmtId="193" fontId="4" fillId="35" borderId="0" xfId="0" applyNumberFormat="1" applyFont="1" applyFill="1" applyAlignment="1">
      <alignment horizontal="left"/>
    </xf>
    <xf numFmtId="0" fontId="4" fillId="35" borderId="0" xfId="0" applyFont="1" applyFill="1" applyAlignment="1">
      <alignment horizontal="left" wrapText="1"/>
    </xf>
    <xf numFmtId="0" fontId="4" fillId="35" borderId="0" xfId="0" applyFont="1" applyFill="1" applyAlignment="1">
      <alignment horizontal="left"/>
    </xf>
    <xf numFmtId="0" fontId="104" fillId="0" borderId="0" xfId="59" applyFont="1" applyBorder="1" applyAlignment="1">
      <alignment wrapText="1"/>
      <protection/>
    </xf>
    <xf numFmtId="178" fontId="104" fillId="0" borderId="0" xfId="42" applyFont="1" applyBorder="1" applyAlignment="1">
      <alignment wrapText="1"/>
    </xf>
    <xf numFmtId="9" fontId="104" fillId="0" borderId="0" xfId="64" applyFont="1" applyBorder="1" applyAlignment="1">
      <alignment wrapText="1"/>
    </xf>
    <xf numFmtId="180" fontId="104" fillId="0" borderId="0" xfId="42" applyNumberFormat="1" applyFont="1" applyFill="1" applyAlignment="1">
      <alignment wrapText="1"/>
    </xf>
    <xf numFmtId="192" fontId="104" fillId="0" borderId="0" xfId="42" applyNumberFormat="1" applyFont="1" applyFill="1" applyAlignment="1">
      <alignment wrapText="1"/>
    </xf>
    <xf numFmtId="9" fontId="104" fillId="0" borderId="0" xfId="64" applyNumberFormat="1" applyFont="1" applyAlignment="1">
      <alignment wrapText="1"/>
    </xf>
    <xf numFmtId="0" fontId="105" fillId="0" borderId="0" xfId="59" applyFont="1">
      <alignment/>
      <protection/>
    </xf>
    <xf numFmtId="0" fontId="96" fillId="0" borderId="0" xfId="59" applyFont="1" applyBorder="1" applyAlignment="1">
      <alignment horizontal="right" wrapText="1"/>
      <protection/>
    </xf>
    <xf numFmtId="178" fontId="96" fillId="0" borderId="0" xfId="42" applyFont="1" applyBorder="1" applyAlignment="1">
      <alignment horizontal="right" wrapText="1"/>
    </xf>
    <xf numFmtId="180" fontId="100" fillId="0" borderId="0" xfId="59" applyNumberFormat="1" applyFont="1" applyBorder="1" applyAlignment="1">
      <alignment wrapText="1"/>
      <protection/>
    </xf>
    <xf numFmtId="192" fontId="4" fillId="0" borderId="0" xfId="42" applyNumberFormat="1" applyFont="1" applyFill="1" applyAlignment="1">
      <alignment wrapText="1"/>
    </xf>
    <xf numFmtId="9" fontId="4" fillId="0" borderId="0" xfId="64" applyNumberFormat="1" applyFont="1" applyAlignment="1">
      <alignment wrapText="1"/>
    </xf>
    <xf numFmtId="0" fontId="96" fillId="0" borderId="0" xfId="59" applyFont="1" applyBorder="1" applyAlignment="1">
      <alignment horizontal="left" wrapText="1"/>
      <protection/>
    </xf>
    <xf numFmtId="186" fontId="100" fillId="0" borderId="15" xfId="60" applyNumberFormat="1" applyFont="1" applyFill="1" applyBorder="1">
      <alignment/>
      <protection/>
    </xf>
    <xf numFmtId="0" fontId="107" fillId="0" borderId="0" xfId="0" applyFont="1" applyFill="1" applyAlignment="1">
      <alignment/>
    </xf>
    <xf numFmtId="180" fontId="100" fillId="0" borderId="16" xfId="42" applyNumberFormat="1" applyFont="1" applyFill="1" applyBorder="1" applyAlignment="1">
      <alignment/>
    </xf>
    <xf numFmtId="2" fontId="100" fillId="0" borderId="0" xfId="0" applyNumberFormat="1" applyFont="1" applyFill="1" applyAlignment="1">
      <alignment/>
    </xf>
    <xf numFmtId="178" fontId="100" fillId="0" borderId="0" xfId="42" applyFont="1" applyFill="1" applyAlignment="1">
      <alignment/>
    </xf>
    <xf numFmtId="9" fontId="100" fillId="0" borderId="0" xfId="64" applyFont="1" applyAlignment="1">
      <alignment/>
    </xf>
    <xf numFmtId="192" fontId="100" fillId="0" borderId="0" xfId="42" applyNumberFormat="1" applyFont="1" applyFill="1" applyAlignment="1">
      <alignment horizontal="right"/>
    </xf>
    <xf numFmtId="180" fontId="100" fillId="0" borderId="0" xfId="42" applyNumberFormat="1" applyFont="1" applyAlignment="1">
      <alignment horizontal="right"/>
    </xf>
    <xf numFmtId="9" fontId="100" fillId="0" borderId="0" xfId="64" applyNumberFormat="1" applyFont="1" applyAlignment="1">
      <alignment/>
    </xf>
    <xf numFmtId="0" fontId="100" fillId="0" borderId="0" xfId="0" applyFont="1" applyFill="1" applyBorder="1" applyAlignment="1">
      <alignment horizontal="justify" vertical="top" wrapText="1"/>
    </xf>
    <xf numFmtId="0" fontId="104" fillId="0" borderId="0" xfId="59" applyFont="1">
      <alignment/>
      <protection/>
    </xf>
    <xf numFmtId="180" fontId="104" fillId="0" borderId="0" xfId="59" applyNumberFormat="1" applyFont="1">
      <alignment/>
      <protection/>
    </xf>
    <xf numFmtId="180" fontId="104" fillId="0" borderId="0" xfId="42" applyNumberFormat="1" applyFont="1" applyFill="1" applyAlignment="1">
      <alignment/>
    </xf>
    <xf numFmtId="9" fontId="104" fillId="0" borderId="0" xfId="64" applyNumberFormat="1" applyFont="1" applyAlignment="1">
      <alignment/>
    </xf>
    <xf numFmtId="0" fontId="98" fillId="0" borderId="0" xfId="60" applyFont="1" applyFill="1" applyAlignment="1">
      <alignment wrapText="1"/>
      <protection/>
    </xf>
    <xf numFmtId="0" fontId="22" fillId="0" borderId="0" xfId="60" applyFont="1" applyAlignment="1">
      <alignment horizontal="left"/>
      <protection/>
    </xf>
    <xf numFmtId="0" fontId="22" fillId="0" borderId="0" xfId="0" applyFont="1" applyAlignment="1">
      <alignment wrapText="1"/>
    </xf>
    <xf numFmtId="0" fontId="22" fillId="0" borderId="0" xfId="0" applyFont="1" applyFill="1" applyAlignment="1">
      <alignment wrapText="1"/>
    </xf>
    <xf numFmtId="0" fontId="108" fillId="0" borderId="0" xfId="60" applyFont="1" applyAlignment="1">
      <alignment wrapText="1"/>
      <protection/>
    </xf>
    <xf numFmtId="0" fontId="23" fillId="0" borderId="0" xfId="0" applyFont="1" applyFill="1" applyBorder="1" applyAlignment="1">
      <alignment horizontal="justify"/>
    </xf>
    <xf numFmtId="0" fontId="23" fillId="0" borderId="0" xfId="0" applyFont="1" applyAlignment="1">
      <alignment wrapText="1"/>
    </xf>
    <xf numFmtId="0" fontId="23" fillId="0" borderId="0" xfId="0" applyFont="1" applyFill="1" applyAlignment="1">
      <alignment wrapText="1"/>
    </xf>
    <xf numFmtId="0" fontId="109" fillId="0" borderId="0" xfId="59" applyFont="1" applyBorder="1" applyAlignment="1">
      <alignment wrapText="1"/>
      <protection/>
    </xf>
    <xf numFmtId="0" fontId="4" fillId="0" borderId="0" xfId="0" applyFont="1" applyFill="1" applyAlignment="1">
      <alignment wrapText="1"/>
    </xf>
    <xf numFmtId="186" fontId="100" fillId="9" borderId="16" xfId="60" applyNumberFormat="1" applyFont="1" applyFill="1" applyBorder="1">
      <alignment/>
      <protection/>
    </xf>
    <xf numFmtId="10" fontId="107" fillId="0" borderId="18" xfId="60" applyNumberFormat="1" applyFont="1" applyBorder="1">
      <alignment/>
      <protection/>
    </xf>
    <xf numFmtId="188" fontId="100" fillId="0" borderId="16" xfId="42" applyNumberFormat="1" applyFont="1" applyFill="1" applyBorder="1" applyAlignment="1">
      <alignment/>
    </xf>
    <xf numFmtId="186" fontId="100" fillId="0" borderId="15" xfId="60" applyNumberFormat="1" applyFont="1" applyBorder="1">
      <alignment/>
      <protection/>
    </xf>
    <xf numFmtId="186" fontId="100" fillId="0" borderId="16" xfId="60" applyNumberFormat="1" applyFont="1" applyBorder="1">
      <alignment/>
      <protection/>
    </xf>
    <xf numFmtId="0" fontId="23" fillId="0" borderId="0" xfId="60" applyFont="1" applyAlignment="1">
      <alignment horizontal="left" wrapText="1"/>
      <protection/>
    </xf>
    <xf numFmtId="0" fontId="23" fillId="0" borderId="0" xfId="60" applyFont="1" applyAlignment="1">
      <alignment horizontal="left"/>
      <protection/>
    </xf>
    <xf numFmtId="0" fontId="109" fillId="0" borderId="0" xfId="60" applyFont="1">
      <alignment/>
      <protection/>
    </xf>
    <xf numFmtId="0" fontId="109" fillId="0" borderId="0" xfId="60" applyFont="1" applyAlignment="1">
      <alignment wrapText="1"/>
      <protection/>
    </xf>
    <xf numFmtId="0" fontId="109" fillId="0" borderId="0" xfId="60" applyFont="1" applyFill="1" applyAlignment="1">
      <alignment wrapText="1"/>
      <protection/>
    </xf>
    <xf numFmtId="0" fontId="23" fillId="0" borderId="0" xfId="0" applyFont="1" applyFill="1" applyAlignment="1">
      <alignment/>
    </xf>
    <xf numFmtId="0" fontId="23" fillId="0" borderId="0" xfId="59" applyFont="1" applyAlignment="1">
      <alignment wrapText="1"/>
      <protection/>
    </xf>
    <xf numFmtId="0" fontId="3" fillId="35" borderId="0" xfId="0" applyFont="1" applyFill="1" applyBorder="1" applyAlignment="1">
      <alignment wrapText="1"/>
    </xf>
    <xf numFmtId="192" fontId="3" fillId="35" borderId="0" xfId="42" applyNumberFormat="1" applyFont="1" applyFill="1" applyBorder="1" applyAlignment="1">
      <alignment horizontal="left"/>
    </xf>
    <xf numFmtId="9" fontId="3" fillId="35" borderId="0" xfId="64" applyNumberFormat="1" applyFont="1" applyFill="1" applyBorder="1" applyAlignment="1">
      <alignment horizontal="left" wrapText="1"/>
    </xf>
    <xf numFmtId="193" fontId="4" fillId="35" borderId="0" xfId="0" applyNumberFormat="1" applyFont="1" applyFill="1" applyBorder="1" applyAlignment="1">
      <alignment horizontal="left"/>
    </xf>
    <xf numFmtId="0" fontId="4" fillId="0" borderId="0" xfId="59" applyFont="1" applyBorder="1">
      <alignment/>
      <protection/>
    </xf>
    <xf numFmtId="0" fontId="104" fillId="0" borderId="0" xfId="59" applyFont="1" applyBorder="1">
      <alignment/>
      <protection/>
    </xf>
    <xf numFmtId="178" fontId="3" fillId="0" borderId="0" xfId="59" applyNumberFormat="1" applyFont="1" applyBorder="1" applyAlignment="1">
      <alignment wrapText="1"/>
      <protection/>
    </xf>
    <xf numFmtId="171" fontId="3" fillId="0" borderId="0" xfId="59" applyNumberFormat="1" applyFont="1" applyBorder="1">
      <alignment/>
      <protection/>
    </xf>
    <xf numFmtId="178" fontId="3" fillId="0" borderId="0" xfId="59" applyNumberFormat="1" applyFont="1" applyBorder="1">
      <alignment/>
      <protection/>
    </xf>
    <xf numFmtId="0" fontId="110" fillId="0" borderId="0" xfId="59" applyFont="1" applyBorder="1" applyAlignment="1">
      <alignment horizontal="right" vertical="center" wrapText="1"/>
      <protection/>
    </xf>
    <xf numFmtId="0" fontId="100" fillId="0" borderId="0" xfId="59" applyFont="1" applyBorder="1" applyAlignment="1">
      <alignment wrapText="1"/>
      <protection/>
    </xf>
    <xf numFmtId="2" fontId="98" fillId="0" borderId="0" xfId="59" applyNumberFormat="1" applyFont="1" applyFill="1" applyBorder="1" applyAlignment="1">
      <alignment wrapText="1"/>
      <protection/>
    </xf>
    <xf numFmtId="180" fontId="104" fillId="0" borderId="0" xfId="59" applyNumberFormat="1" applyFont="1" applyFill="1" applyBorder="1" applyAlignment="1">
      <alignment wrapText="1"/>
      <protection/>
    </xf>
    <xf numFmtId="9" fontId="3" fillId="0" borderId="0" xfId="64" applyNumberFormat="1" applyFont="1" applyFill="1" applyAlignment="1">
      <alignment wrapText="1"/>
    </xf>
    <xf numFmtId="0" fontId="100" fillId="0" borderId="0" xfId="59" applyFont="1" applyBorder="1">
      <alignment/>
      <protection/>
    </xf>
    <xf numFmtId="192" fontId="100" fillId="0" borderId="0" xfId="42" applyNumberFormat="1" applyFont="1" applyFill="1" applyAlignment="1">
      <alignment horizontal="right" wrapText="1"/>
    </xf>
    <xf numFmtId="0" fontId="2" fillId="0" borderId="0" xfId="0" applyFont="1" applyBorder="1" applyAlignment="1">
      <alignment/>
    </xf>
    <xf numFmtId="0" fontId="2" fillId="0" borderId="0" xfId="0" applyFont="1" applyBorder="1" applyAlignment="1">
      <alignment horizontal="center"/>
    </xf>
    <xf numFmtId="182" fontId="2" fillId="0" borderId="0" xfId="0" applyNumberFormat="1" applyFont="1" applyBorder="1" applyAlignment="1">
      <alignment/>
    </xf>
    <xf numFmtId="181" fontId="2" fillId="0" borderId="0" xfId="42" applyNumberFormat="1" applyFont="1" applyBorder="1" applyAlignment="1">
      <alignment/>
    </xf>
    <xf numFmtId="180" fontId="2" fillId="0" borderId="0" xfId="42" applyNumberFormat="1" applyFont="1" applyBorder="1" applyAlignment="1">
      <alignment/>
    </xf>
    <xf numFmtId="182" fontId="3" fillId="0" borderId="0" xfId="0" applyNumberFormat="1" applyFont="1" applyBorder="1" applyAlignment="1">
      <alignment/>
    </xf>
    <xf numFmtId="181" fontId="3" fillId="0" borderId="0" xfId="42" applyNumberFormat="1" applyFont="1" applyBorder="1" applyAlignment="1">
      <alignment/>
    </xf>
    <xf numFmtId="0" fontId="6" fillId="0" borderId="0" xfId="0" applyFont="1" applyBorder="1" applyAlignment="1">
      <alignment/>
    </xf>
    <xf numFmtId="182" fontId="6" fillId="0" borderId="0" xfId="0" applyNumberFormat="1" applyFont="1" applyBorder="1" applyAlignment="1">
      <alignment/>
    </xf>
    <xf numFmtId="0" fontId="6" fillId="0" borderId="0" xfId="0" applyFont="1" applyBorder="1" applyAlignment="1" quotePrefix="1">
      <alignment/>
    </xf>
    <xf numFmtId="181" fontId="6" fillId="0" borderId="0" xfId="42" applyNumberFormat="1" applyFont="1" applyBorder="1" applyAlignment="1" quotePrefix="1">
      <alignment/>
    </xf>
    <xf numFmtId="181" fontId="6" fillId="0" borderId="0" xfId="42" applyNumberFormat="1" applyFont="1" applyBorder="1" applyAlignment="1">
      <alignment horizontal="center"/>
    </xf>
    <xf numFmtId="180" fontId="6" fillId="0" borderId="0" xfId="42" applyNumberFormat="1" applyFont="1" applyBorder="1" applyAlignment="1">
      <alignment horizontal="center"/>
    </xf>
    <xf numFmtId="0" fontId="4" fillId="0" borderId="0" xfId="0" applyFont="1" applyBorder="1" applyAlignment="1" quotePrefix="1">
      <alignment/>
    </xf>
    <xf numFmtId="182" fontId="4" fillId="0" borderId="0" xfId="0" applyNumberFormat="1" applyFont="1" applyBorder="1" applyAlignment="1">
      <alignment/>
    </xf>
    <xf numFmtId="181" fontId="4" fillId="0" borderId="0" xfId="42" applyNumberFormat="1" applyFont="1" applyBorder="1" applyAlignment="1">
      <alignment/>
    </xf>
    <xf numFmtId="180" fontId="4" fillId="0" borderId="0" xfId="42" applyNumberFormat="1" applyFont="1" applyBorder="1" applyAlignment="1">
      <alignment/>
    </xf>
    <xf numFmtId="0" fontId="100" fillId="0" borderId="0" xfId="0" applyFont="1" applyBorder="1" applyAlignment="1">
      <alignment/>
    </xf>
    <xf numFmtId="179" fontId="3" fillId="0" borderId="0" xfId="0" applyNumberFormat="1" applyFont="1" applyBorder="1" applyAlignment="1">
      <alignment/>
    </xf>
    <xf numFmtId="2" fontId="3" fillId="0" borderId="0" xfId="0" applyNumberFormat="1" applyFont="1" applyBorder="1" applyAlignment="1">
      <alignment/>
    </xf>
    <xf numFmtId="10" fontId="3" fillId="0" borderId="0" xfId="0" applyNumberFormat="1" applyFont="1" applyBorder="1" applyAlignment="1">
      <alignment/>
    </xf>
    <xf numFmtId="0" fontId="23" fillId="0" borderId="0" xfId="0" applyFont="1" applyBorder="1" applyAlignment="1">
      <alignment wrapText="1"/>
    </xf>
    <xf numFmtId="9" fontId="3" fillId="0" borderId="0" xfId="0" applyNumberFormat="1" applyFont="1" applyBorder="1" applyAlignment="1">
      <alignment/>
    </xf>
    <xf numFmtId="1" fontId="3" fillId="0" borderId="0" xfId="0" applyNumberFormat="1" applyFont="1" applyBorder="1" applyAlignment="1">
      <alignment/>
    </xf>
    <xf numFmtId="179" fontId="100" fillId="0" borderId="0" xfId="0" applyNumberFormat="1" applyFont="1" applyBorder="1" applyAlignment="1">
      <alignment/>
    </xf>
    <xf numFmtId="2" fontId="100" fillId="0" borderId="0" xfId="0" applyNumberFormat="1" applyFont="1" applyBorder="1" applyAlignment="1">
      <alignment/>
    </xf>
    <xf numFmtId="10" fontId="100" fillId="0" borderId="0" xfId="0" applyNumberFormat="1" applyFont="1" applyBorder="1" applyAlignment="1">
      <alignment/>
    </xf>
    <xf numFmtId="0" fontId="4" fillId="0" borderId="0" xfId="0" applyFont="1" applyBorder="1" applyAlignment="1">
      <alignment horizontal="center"/>
    </xf>
    <xf numFmtId="179" fontId="4" fillId="0" borderId="0" xfId="0" applyNumberFormat="1" applyFont="1" applyBorder="1" applyAlignment="1">
      <alignment/>
    </xf>
    <xf numFmtId="2" fontId="4" fillId="0" borderId="0" xfId="0" applyNumberFormat="1" applyFont="1" applyBorder="1" applyAlignment="1">
      <alignment/>
    </xf>
    <xf numFmtId="181" fontId="4" fillId="0" borderId="0" xfId="42" applyNumberFormat="1" applyFont="1" applyFill="1" applyBorder="1" applyAlignment="1">
      <alignment/>
    </xf>
    <xf numFmtId="192" fontId="4" fillId="0" borderId="0" xfId="42" applyNumberFormat="1" applyFont="1" applyFill="1" applyBorder="1" applyAlignment="1">
      <alignment/>
    </xf>
    <xf numFmtId="0" fontId="4" fillId="0" borderId="0" xfId="0" applyFont="1" applyBorder="1" applyAlignment="1">
      <alignment horizontal="left"/>
    </xf>
    <xf numFmtId="192" fontId="3" fillId="0" borderId="0" xfId="42" applyNumberFormat="1" applyFont="1" applyBorder="1" applyAlignment="1">
      <alignment/>
    </xf>
    <xf numFmtId="0" fontId="22" fillId="0" borderId="0" xfId="0" applyFont="1" applyBorder="1" applyAlignment="1">
      <alignment wrapText="1"/>
    </xf>
    <xf numFmtId="181" fontId="6" fillId="0" borderId="0" xfId="42" applyNumberFormat="1" applyFont="1" applyFill="1" applyBorder="1" applyAlignment="1">
      <alignment/>
    </xf>
    <xf numFmtId="192" fontId="6" fillId="0" borderId="0" xfId="42" applyNumberFormat="1" applyFont="1" applyFill="1" applyBorder="1" applyAlignment="1">
      <alignment/>
    </xf>
    <xf numFmtId="180" fontId="6" fillId="0" borderId="0" xfId="42" applyNumberFormat="1" applyFont="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4" fillId="0" borderId="0" xfId="0" applyFont="1" applyFill="1" applyBorder="1" applyAlignment="1">
      <alignment horizontal="center"/>
    </xf>
    <xf numFmtId="9" fontId="4" fillId="0" borderId="0" xfId="0" applyNumberFormat="1" applyFont="1" applyFill="1" applyBorder="1" applyAlignment="1">
      <alignment horizontal="center"/>
    </xf>
    <xf numFmtId="0" fontId="9" fillId="0" borderId="0" xfId="0" applyFont="1" applyFill="1" applyBorder="1" applyAlignment="1">
      <alignment/>
    </xf>
    <xf numFmtId="180" fontId="9" fillId="0" borderId="0" xfId="42" applyNumberFormat="1" applyFont="1" applyFill="1" applyBorder="1" applyAlignment="1">
      <alignment/>
    </xf>
    <xf numFmtId="9" fontId="9" fillId="0" borderId="0" xfId="0" applyNumberFormat="1" applyFont="1" applyFill="1" applyBorder="1" applyAlignment="1">
      <alignment/>
    </xf>
    <xf numFmtId="183" fontId="3" fillId="0" borderId="0" xfId="0" applyNumberFormat="1" applyFont="1" applyFill="1" applyBorder="1" applyAlignment="1">
      <alignment/>
    </xf>
    <xf numFmtId="9" fontId="3" fillId="0" borderId="0" xfId="64" applyNumberFormat="1" applyFont="1" applyBorder="1" applyAlignment="1">
      <alignment/>
    </xf>
    <xf numFmtId="9" fontId="3" fillId="0" borderId="0" xfId="42" applyNumberFormat="1" applyFont="1" applyBorder="1" applyAlignment="1">
      <alignment/>
    </xf>
    <xf numFmtId="0" fontId="9" fillId="0" borderId="0" xfId="0" applyFont="1" applyFill="1" applyBorder="1" applyAlignment="1">
      <alignment/>
    </xf>
    <xf numFmtId="9" fontId="3" fillId="0" borderId="0" xfId="64" applyNumberFormat="1" applyFont="1" applyFill="1" applyBorder="1" applyAlignment="1">
      <alignment/>
    </xf>
    <xf numFmtId="0" fontId="111" fillId="0" borderId="0" xfId="0" applyFont="1" applyFill="1" applyBorder="1" applyAlignment="1">
      <alignment/>
    </xf>
    <xf numFmtId="180" fontId="111" fillId="0" borderId="0" xfId="42" applyNumberFormat="1" applyFont="1" applyFill="1" applyBorder="1" applyAlignment="1">
      <alignment/>
    </xf>
    <xf numFmtId="0" fontId="101" fillId="0" borderId="0" xfId="0" applyFont="1" applyFill="1" applyBorder="1" applyAlignment="1">
      <alignment/>
    </xf>
    <xf numFmtId="183" fontId="101" fillId="0" borderId="0" xfId="0" applyNumberFormat="1" applyFont="1" applyFill="1" applyBorder="1" applyAlignment="1">
      <alignment/>
    </xf>
    <xf numFmtId="9" fontId="101" fillId="0" borderId="0" xfId="0" applyNumberFormat="1" applyFont="1" applyFill="1" applyBorder="1" applyAlignment="1">
      <alignment/>
    </xf>
    <xf numFmtId="9" fontId="101" fillId="0" borderId="0" xfId="64" applyNumberFormat="1" applyFont="1" applyFill="1" applyBorder="1" applyAlignment="1">
      <alignment/>
    </xf>
    <xf numFmtId="9" fontId="111" fillId="0" borderId="0" xfId="0" applyNumberFormat="1" applyFont="1" applyFill="1" applyBorder="1" applyAlignment="1">
      <alignment/>
    </xf>
    <xf numFmtId="9" fontId="101" fillId="0" borderId="0" xfId="64" applyNumberFormat="1" applyFont="1" applyBorder="1" applyAlignment="1">
      <alignment/>
    </xf>
    <xf numFmtId="0" fontId="112" fillId="0" borderId="0" xfId="0" applyFont="1" applyFill="1" applyBorder="1" applyAlignment="1">
      <alignment/>
    </xf>
    <xf numFmtId="180" fontId="112" fillId="0" borderId="0" xfId="42" applyNumberFormat="1" applyFont="1" applyFill="1" applyBorder="1" applyAlignment="1">
      <alignment/>
    </xf>
    <xf numFmtId="9" fontId="112" fillId="0" borderId="0" xfId="0" applyNumberFormat="1" applyFont="1" applyFill="1" applyBorder="1" applyAlignment="1">
      <alignment/>
    </xf>
    <xf numFmtId="0" fontId="98" fillId="0" borderId="0" xfId="0" applyFont="1" applyFill="1" applyBorder="1" applyAlignment="1">
      <alignment/>
    </xf>
    <xf numFmtId="183" fontId="98" fillId="0" borderId="0" xfId="0" applyNumberFormat="1" applyFont="1" applyFill="1" applyBorder="1" applyAlignment="1">
      <alignment/>
    </xf>
    <xf numFmtId="9" fontId="98" fillId="0" borderId="0" xfId="0" applyNumberFormat="1" applyFont="1" applyFill="1" applyBorder="1" applyAlignment="1">
      <alignment/>
    </xf>
    <xf numFmtId="9" fontId="98" fillId="0" borderId="0" xfId="64" applyNumberFormat="1" applyFont="1" applyBorder="1" applyAlignment="1">
      <alignment/>
    </xf>
    <xf numFmtId="0" fontId="23" fillId="0" borderId="0" xfId="0" applyFont="1" applyFill="1" applyBorder="1" applyAlignment="1">
      <alignment wrapText="1"/>
    </xf>
    <xf numFmtId="181" fontId="25" fillId="0" borderId="15" xfId="60" applyNumberFormat="1" applyFont="1" applyFill="1" applyBorder="1">
      <alignment/>
      <protection/>
    </xf>
    <xf numFmtId="181" fontId="18" fillId="0" borderId="16" xfId="60" applyNumberFormat="1" applyFont="1" applyFill="1" applyBorder="1">
      <alignment/>
      <protection/>
    </xf>
    <xf numFmtId="9" fontId="26" fillId="0" borderId="18" xfId="63" applyFont="1" applyFill="1" applyBorder="1" applyAlignment="1">
      <alignment/>
    </xf>
    <xf numFmtId="178" fontId="18" fillId="0" borderId="16" xfId="42" applyFont="1" applyFill="1" applyBorder="1" applyAlignment="1">
      <alignment/>
    </xf>
    <xf numFmtId="178" fontId="18" fillId="0" borderId="16" xfId="42" applyNumberFormat="1" applyFont="1" applyFill="1" applyBorder="1" applyAlignment="1">
      <alignment/>
    </xf>
    <xf numFmtId="10" fontId="113" fillId="0" borderId="15" xfId="63" applyNumberFormat="1" applyFont="1" applyFill="1" applyBorder="1" applyAlignment="1">
      <alignment/>
    </xf>
    <xf numFmtId="0" fontId="26" fillId="0" borderId="0" xfId="0" applyFont="1" applyFill="1" applyAlignment="1">
      <alignment/>
    </xf>
    <xf numFmtId="179" fontId="100" fillId="0" borderId="0" xfId="0" applyNumberFormat="1" applyFont="1" applyFill="1" applyBorder="1" applyAlignment="1">
      <alignment/>
    </xf>
    <xf numFmtId="10" fontId="100" fillId="0" borderId="0" xfId="0" applyNumberFormat="1" applyFont="1" applyFill="1" applyBorder="1" applyAlignment="1">
      <alignment/>
    </xf>
    <xf numFmtId="10" fontId="100" fillId="0" borderId="0" xfId="63" applyNumberFormat="1" applyFont="1" applyFill="1" applyBorder="1" applyAlignment="1">
      <alignment/>
    </xf>
    <xf numFmtId="0" fontId="2" fillId="36" borderId="10" xfId="0" applyFont="1" applyFill="1" applyBorder="1" applyAlignment="1">
      <alignment horizontal="center" wrapText="1"/>
    </xf>
    <xf numFmtId="0" fontId="4" fillId="0" borderId="16" xfId="42" applyNumberFormat="1" applyFont="1" applyFill="1" applyBorder="1" applyAlignment="1" quotePrefix="1">
      <alignment horizontal="center"/>
    </xf>
    <xf numFmtId="10" fontId="6" fillId="0" borderId="0" xfId="0" applyNumberFormat="1" applyFont="1" applyBorder="1" applyAlignment="1">
      <alignment horizontal="center"/>
    </xf>
    <xf numFmtId="9" fontId="6" fillId="0" borderId="0" xfId="0" applyNumberFormat="1" applyFont="1" applyFill="1" applyAlignment="1">
      <alignment horizontal="right" wrapText="1"/>
    </xf>
    <xf numFmtId="178" fontId="3" fillId="0" borderId="15" xfId="42" applyNumberFormat="1" applyFont="1" applyFill="1" applyBorder="1" applyAlignment="1">
      <alignment/>
    </xf>
    <xf numFmtId="0" fontId="7" fillId="0" borderId="19" xfId="0" applyFont="1" applyFill="1" applyBorder="1" applyAlignment="1">
      <alignment/>
    </xf>
    <xf numFmtId="188" fontId="4" fillId="0" borderId="23" xfId="42" applyNumberFormat="1" applyFont="1" applyFill="1" applyBorder="1" applyAlignment="1">
      <alignment horizontal="center" wrapText="1"/>
    </xf>
    <xf numFmtId="188" fontId="4" fillId="0" borderId="19" xfId="42" applyNumberFormat="1" applyFont="1" applyFill="1" applyBorder="1" applyAlignment="1">
      <alignment horizontal="center" vertical="center" wrapText="1"/>
    </xf>
    <xf numFmtId="188" fontId="4" fillId="0" borderId="11" xfId="42" applyNumberFormat="1" applyFont="1" applyFill="1" applyBorder="1" applyAlignment="1">
      <alignment horizontal="center" vertical="center" wrapText="1"/>
    </xf>
    <xf numFmtId="0" fontId="99" fillId="0" borderId="16" xfId="60" applyFont="1" applyBorder="1" applyAlignment="1">
      <alignment vertical="center"/>
      <protection/>
    </xf>
    <xf numFmtId="0" fontId="4" fillId="0" borderId="15" xfId="63" applyNumberFormat="1" applyFont="1" applyFill="1" applyBorder="1" applyAlignment="1">
      <alignment horizontal="center" vertical="center"/>
    </xf>
    <xf numFmtId="0" fontId="99" fillId="0" borderId="15" xfId="60" applyFont="1" applyBorder="1" applyAlignment="1">
      <alignment horizontal="center" vertical="center" wrapText="1"/>
      <protection/>
    </xf>
    <xf numFmtId="188" fontId="4" fillId="0" borderId="16" xfId="42" applyNumberFormat="1" applyFont="1" applyFill="1" applyBorder="1" applyAlignment="1" quotePrefix="1">
      <alignment horizontal="center" vertical="center" wrapText="1"/>
    </xf>
    <xf numFmtId="0" fontId="102" fillId="0" borderId="0" xfId="60" applyFont="1" applyBorder="1" applyAlignment="1">
      <alignment horizontal="center" vertical="center" wrapText="1"/>
      <protection/>
    </xf>
    <xf numFmtId="188" fontId="4" fillId="0" borderId="0" xfId="42" applyNumberFormat="1" applyFont="1" applyFill="1" applyBorder="1" applyAlignment="1" quotePrefix="1">
      <alignment horizontal="center" vertical="center" wrapText="1"/>
    </xf>
    <xf numFmtId="0" fontId="4" fillId="0" borderId="0" xfId="42" applyNumberFormat="1" applyFont="1" applyFill="1" applyBorder="1" applyAlignment="1" quotePrefix="1">
      <alignment horizontal="center" vertical="center" wrapText="1"/>
    </xf>
    <xf numFmtId="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80" fontId="4" fillId="0" borderId="0" xfId="42"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96" fillId="0" borderId="24" xfId="60" applyFont="1" applyBorder="1" applyAlignment="1">
      <alignment horizontal="center" vertical="center" wrapText="1"/>
      <protection/>
    </xf>
    <xf numFmtId="0" fontId="96" fillId="0" borderId="15" xfId="60" applyFont="1" applyBorder="1" applyAlignment="1">
      <alignment horizontal="center"/>
      <protection/>
    </xf>
    <xf numFmtId="0" fontId="27" fillId="0" borderId="0" xfId="60" applyFont="1" applyFill="1" applyAlignment="1">
      <alignment horizontal="left"/>
      <protection/>
    </xf>
    <xf numFmtId="49" fontId="98" fillId="0" borderId="0" xfId="60" applyNumberFormat="1" applyFont="1" applyBorder="1" applyAlignment="1">
      <alignment horizontal="center"/>
      <protection/>
    </xf>
    <xf numFmtId="0" fontId="98" fillId="0" borderId="0" xfId="60" applyFont="1" applyBorder="1">
      <alignment/>
      <protection/>
    </xf>
    <xf numFmtId="187" fontId="98" fillId="0" borderId="0" xfId="60" applyNumberFormat="1" applyFont="1" applyBorder="1">
      <alignment/>
      <protection/>
    </xf>
    <xf numFmtId="49" fontId="27" fillId="0" borderId="0" xfId="60" applyNumberFormat="1" applyFont="1" applyFill="1" applyAlignment="1">
      <alignment horizontal="center"/>
      <protection/>
    </xf>
    <xf numFmtId="0" fontId="22" fillId="0" borderId="0" xfId="60" applyFont="1" applyFill="1">
      <alignment/>
      <protection/>
    </xf>
    <xf numFmtId="0" fontId="4" fillId="0" borderId="0" xfId="60" applyFont="1" applyFill="1" applyAlignment="1">
      <alignment/>
      <protection/>
    </xf>
    <xf numFmtId="49" fontId="98" fillId="0" borderId="0" xfId="60" applyNumberFormat="1" applyFont="1" applyFill="1" applyAlignment="1">
      <alignment horizontal="center"/>
      <protection/>
    </xf>
    <xf numFmtId="0" fontId="98" fillId="0" borderId="0" xfId="60" applyFont="1" applyFill="1">
      <alignment/>
      <protection/>
    </xf>
    <xf numFmtId="0" fontId="114" fillId="0" borderId="0" xfId="60" applyFont="1" applyFill="1" applyAlignment="1">
      <alignment wrapText="1"/>
      <protection/>
    </xf>
    <xf numFmtId="178" fontId="98" fillId="0" borderId="0" xfId="60" applyNumberFormat="1" applyFont="1" applyFill="1">
      <alignment/>
      <protection/>
    </xf>
    <xf numFmtId="49" fontId="98" fillId="0" borderId="0" xfId="60" applyNumberFormat="1" applyFont="1" applyAlignment="1">
      <alignment horizontal="center"/>
      <protection/>
    </xf>
    <xf numFmtId="0" fontId="98" fillId="0" borderId="0" xfId="60" applyFont="1">
      <alignment/>
      <protection/>
    </xf>
    <xf numFmtId="0" fontId="114" fillId="0" borderId="0" xfId="60" applyFont="1">
      <alignment/>
      <protection/>
    </xf>
    <xf numFmtId="177" fontId="98" fillId="0" borderId="0" xfId="60" applyNumberFormat="1" applyFont="1" applyBorder="1" applyAlignment="1">
      <alignment horizontal="right"/>
      <protection/>
    </xf>
    <xf numFmtId="0" fontId="27" fillId="0" borderId="0" xfId="60" applyFont="1">
      <alignment/>
      <protection/>
    </xf>
    <xf numFmtId="49" fontId="27" fillId="0" borderId="0" xfId="60" applyNumberFormat="1" applyFont="1" applyAlignment="1">
      <alignment horizontal="center"/>
      <protection/>
    </xf>
    <xf numFmtId="0" fontId="22" fillId="0" borderId="0" xfId="60" applyFont="1">
      <alignment/>
      <protection/>
    </xf>
    <xf numFmtId="0" fontId="100" fillId="0" borderId="0" xfId="60" applyFont="1">
      <alignment/>
      <protection/>
    </xf>
    <xf numFmtId="49" fontId="100" fillId="0" borderId="0" xfId="60" applyNumberFormat="1" applyFont="1" applyAlignment="1">
      <alignment horizontal="center"/>
      <protection/>
    </xf>
    <xf numFmtId="0" fontId="4" fillId="0" borderId="0" xfId="60" applyFont="1" applyAlignment="1">
      <alignment/>
      <protection/>
    </xf>
    <xf numFmtId="0" fontId="114" fillId="0" borderId="0" xfId="60" applyFont="1" applyAlignment="1">
      <alignment wrapText="1"/>
      <protection/>
    </xf>
    <xf numFmtId="0" fontId="115" fillId="0" borderId="0" xfId="60" applyFont="1" applyFill="1">
      <alignment/>
      <protection/>
    </xf>
    <xf numFmtId="49" fontId="115" fillId="0" borderId="0" xfId="60" applyNumberFormat="1" applyFont="1" applyFill="1" applyAlignment="1">
      <alignment horizontal="center"/>
      <protection/>
    </xf>
    <xf numFmtId="0" fontId="98" fillId="0" borderId="0" xfId="60" applyFont="1" applyAlignment="1">
      <alignment horizontal="center"/>
      <protection/>
    </xf>
    <xf numFmtId="0" fontId="98" fillId="0" borderId="0" xfId="60" applyFont="1" applyAlignment="1" quotePrefix="1">
      <alignment horizontal="center"/>
      <protection/>
    </xf>
    <xf numFmtId="0" fontId="6" fillId="0" borderId="0" xfId="60" applyFont="1">
      <alignment/>
      <protection/>
    </xf>
    <xf numFmtId="14" fontId="7" fillId="0" borderId="0" xfId="60" applyNumberFormat="1" applyFont="1" applyAlignment="1">
      <alignment horizontal="left"/>
      <protection/>
    </xf>
    <xf numFmtId="0" fontId="6" fillId="0" borderId="0" xfId="60" applyFont="1" applyAlignment="1">
      <alignment horizontal="center" vertical="center" wrapText="1"/>
      <protection/>
    </xf>
    <xf numFmtId="0" fontId="6" fillId="0" borderId="0" xfId="60" applyFont="1" applyBorder="1">
      <alignment/>
      <protection/>
    </xf>
    <xf numFmtId="0" fontId="6" fillId="0" borderId="0" xfId="60" applyFont="1" applyBorder="1" applyAlignment="1">
      <alignment horizontal="center" vertical="center" wrapText="1"/>
      <protection/>
    </xf>
    <xf numFmtId="0" fontId="4" fillId="0" borderId="0" xfId="0" applyFont="1" applyBorder="1" applyAlignment="1">
      <alignment wrapText="1"/>
    </xf>
    <xf numFmtId="0" fontId="2" fillId="0" borderId="0" xfId="60" applyFont="1" applyBorder="1" applyAlignment="1">
      <alignment wrapText="1"/>
      <protection/>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4" fillId="0" borderId="0" xfId="0" applyFont="1" applyAlignment="1">
      <alignment wrapText="1"/>
    </xf>
    <xf numFmtId="0" fontId="4" fillId="0" borderId="0" xfId="59" applyFont="1" applyAlignment="1">
      <alignment wrapText="1"/>
      <protection/>
    </xf>
    <xf numFmtId="0" fontId="13" fillId="0" borderId="0" xfId="0" applyFont="1" applyBorder="1" applyAlignment="1">
      <alignment/>
    </xf>
    <xf numFmtId="0" fontId="13" fillId="0" borderId="0" xfId="0" applyFont="1" applyFill="1" applyAlignment="1">
      <alignment/>
    </xf>
    <xf numFmtId="0" fontId="13" fillId="0" borderId="0" xfId="0" applyFont="1" applyAlignment="1">
      <alignment/>
    </xf>
    <xf numFmtId="0" fontId="13" fillId="0" borderId="0" xfId="59" applyFont="1">
      <alignment/>
      <protection/>
    </xf>
    <xf numFmtId="0" fontId="28" fillId="36" borderId="10" xfId="0" applyFont="1" applyFill="1" applyBorder="1" applyAlignment="1">
      <alignment horizontal="center" wrapText="1"/>
    </xf>
    <xf numFmtId="0" fontId="116" fillId="0" borderId="0" xfId="59" applyFont="1" applyBorder="1">
      <alignment/>
      <protection/>
    </xf>
    <xf numFmtId="180" fontId="4" fillId="0" borderId="0" xfId="42" applyNumberFormat="1" applyFont="1" applyFill="1" applyAlignment="1">
      <alignment horizontal="center"/>
    </xf>
    <xf numFmtId="0" fontId="6" fillId="35" borderId="23" xfId="0" applyFont="1" applyFill="1" applyBorder="1" applyAlignment="1">
      <alignment horizontal="center" wrapText="1"/>
    </xf>
    <xf numFmtId="188" fontId="4" fillId="0" borderId="25" xfId="42" applyNumberFormat="1" applyFont="1" applyFill="1" applyBorder="1" applyAlignment="1">
      <alignment horizontal="center" wrapText="1"/>
    </xf>
    <xf numFmtId="0" fontId="4" fillId="0" borderId="15" xfId="42" applyNumberFormat="1" applyFont="1" applyFill="1" applyBorder="1" applyAlignment="1" quotePrefix="1">
      <alignment horizontal="center" vertical="center" wrapText="1"/>
    </xf>
    <xf numFmtId="188" fontId="4" fillId="0" borderId="15" xfId="42" applyNumberFormat="1" applyFont="1" applyFill="1" applyBorder="1" applyAlignment="1">
      <alignment horizontal="center"/>
    </xf>
    <xf numFmtId="188" fontId="99" fillId="0" borderId="15" xfId="42" applyNumberFormat="1" applyFont="1" applyFill="1" applyBorder="1" applyAlignment="1">
      <alignment/>
    </xf>
    <xf numFmtId="178" fontId="100" fillId="0" borderId="15" xfId="42" applyNumberFormat="1" applyFont="1" applyFill="1" applyBorder="1" applyAlignment="1">
      <alignment/>
    </xf>
    <xf numFmtId="178" fontId="104" fillId="0" borderId="15" xfId="42" applyNumberFormat="1" applyFont="1" applyFill="1" applyBorder="1" applyAlignment="1">
      <alignment/>
    </xf>
    <xf numFmtId="180" fontId="100" fillId="0" borderId="15" xfId="42" applyNumberFormat="1" applyFont="1" applyFill="1" applyBorder="1" applyAlignment="1">
      <alignment/>
    </xf>
    <xf numFmtId="178" fontId="18" fillId="0" borderId="15" xfId="42" applyNumberFormat="1" applyFont="1" applyFill="1" applyBorder="1" applyAlignment="1">
      <alignment/>
    </xf>
    <xf numFmtId="9" fontId="4" fillId="0" borderId="0" xfId="59" applyNumberFormat="1" applyFont="1" applyAlignment="1">
      <alignment horizontal="center" vertical="center"/>
      <protection/>
    </xf>
    <xf numFmtId="180" fontId="4" fillId="0" borderId="0" xfId="42" applyNumberFormat="1" applyFont="1" applyAlignment="1" quotePrefix="1">
      <alignment horizontal="center" vertical="center"/>
    </xf>
    <xf numFmtId="192" fontId="3" fillId="0" borderId="0" xfId="42" applyNumberFormat="1" applyFont="1" applyAlignment="1">
      <alignment wrapText="1"/>
    </xf>
    <xf numFmtId="180" fontId="3" fillId="0" borderId="0" xfId="59" applyNumberFormat="1" applyFont="1" applyAlignment="1">
      <alignment wrapText="1"/>
      <protection/>
    </xf>
    <xf numFmtId="9" fontId="4" fillId="0" borderId="0" xfId="63" applyNumberFormat="1" applyFont="1" applyAlignment="1">
      <alignment horizontal="center" vertical="center"/>
    </xf>
    <xf numFmtId="180" fontId="3" fillId="0" borderId="0" xfId="42" applyNumberFormat="1" applyFont="1" applyAlignment="1">
      <alignment horizontal="center" vertical="center"/>
    </xf>
    <xf numFmtId="9" fontId="4" fillId="0" borderId="0" xfId="64" applyNumberFormat="1" applyFont="1" applyAlignment="1">
      <alignment horizontal="center" vertical="center" wrapText="1"/>
    </xf>
    <xf numFmtId="0" fontId="3" fillId="0" borderId="0" xfId="59" applyFont="1" applyBorder="1" applyAlignment="1">
      <alignment horizontal="center" vertical="center"/>
      <protection/>
    </xf>
    <xf numFmtId="194" fontId="99" fillId="0" borderId="0" xfId="60" applyNumberFormat="1" applyFont="1">
      <alignment/>
      <protection/>
    </xf>
    <xf numFmtId="10" fontId="3" fillId="0" borderId="0" xfId="63" applyNumberFormat="1" applyFont="1" applyFill="1" applyAlignment="1">
      <alignment/>
    </xf>
    <xf numFmtId="10" fontId="100" fillId="0" borderId="0" xfId="64" applyNumberFormat="1" applyFont="1" applyFill="1" applyBorder="1" applyAlignment="1">
      <alignment/>
    </xf>
    <xf numFmtId="195" fontId="2" fillId="36" borderId="10" xfId="0" applyNumberFormat="1" applyFont="1" applyFill="1" applyBorder="1" applyAlignment="1">
      <alignment horizontal="center" wrapText="1"/>
    </xf>
    <xf numFmtId="195" fontId="4" fillId="35" borderId="10" xfId="0" applyNumberFormat="1" applyFont="1" applyFill="1" applyBorder="1" applyAlignment="1">
      <alignment horizontal="left" wrapText="1"/>
    </xf>
    <xf numFmtId="195" fontId="4" fillId="36" borderId="10" xfId="0" applyNumberFormat="1" applyFont="1" applyFill="1" applyBorder="1" applyAlignment="1">
      <alignment horizontal="left"/>
    </xf>
    <xf numFmtId="195" fontId="4" fillId="35" borderId="10" xfId="0" applyNumberFormat="1" applyFont="1" applyFill="1" applyBorder="1" applyAlignment="1">
      <alignment horizontal="left"/>
    </xf>
    <xf numFmtId="195" fontId="100" fillId="35" borderId="10" xfId="0" applyNumberFormat="1" applyFont="1" applyFill="1" applyBorder="1" applyAlignment="1">
      <alignment horizontal="left"/>
    </xf>
    <xf numFmtId="195" fontId="4" fillId="35" borderId="10" xfId="42" applyNumberFormat="1" applyFont="1" applyFill="1" applyBorder="1" applyAlignment="1">
      <alignment horizontal="left" vertical="top" wrapText="1"/>
    </xf>
    <xf numFmtId="195" fontId="4" fillId="35" borderId="0" xfId="0" applyNumberFormat="1" applyFont="1" applyFill="1" applyBorder="1" applyAlignment="1">
      <alignment horizontal="left"/>
    </xf>
    <xf numFmtId="195" fontId="4" fillId="35" borderId="0" xfId="0" applyNumberFormat="1" applyFont="1" applyFill="1" applyAlignment="1">
      <alignment horizontal="left" wrapText="1"/>
    </xf>
    <xf numFmtId="184" fontId="100" fillId="0" borderId="0" xfId="0" applyNumberFormat="1" applyFont="1" applyFill="1" applyBorder="1" applyAlignment="1">
      <alignment/>
    </xf>
    <xf numFmtId="190" fontId="100" fillId="0" borderId="0" xfId="42" applyNumberFormat="1" applyFont="1" applyFill="1" applyAlignment="1">
      <alignment/>
    </xf>
    <xf numFmtId="10" fontId="100" fillId="0" borderId="0" xfId="63" applyNumberFormat="1" applyFont="1" applyFill="1" applyAlignment="1">
      <alignment/>
    </xf>
    <xf numFmtId="193" fontId="3" fillId="35" borderId="10" xfId="0" applyNumberFormat="1" applyFont="1" applyFill="1" applyBorder="1" applyAlignment="1">
      <alignment horizontal="left"/>
    </xf>
    <xf numFmtId="0" fontId="98" fillId="34" borderId="0" xfId="60" applyFont="1" applyFill="1">
      <alignment/>
      <protection/>
    </xf>
    <xf numFmtId="49" fontId="98" fillId="34" borderId="0" xfId="60" applyNumberFormat="1" applyFont="1" applyFill="1" applyAlignment="1">
      <alignment horizontal="center"/>
      <protection/>
    </xf>
    <xf numFmtId="181" fontId="4" fillId="34" borderId="15" xfId="60" applyNumberFormat="1" applyFont="1" applyFill="1" applyBorder="1">
      <alignment/>
      <protection/>
    </xf>
    <xf numFmtId="181" fontId="4" fillId="34" borderId="16" xfId="60" applyNumberFormat="1" applyFont="1" applyFill="1" applyBorder="1">
      <alignment/>
      <protection/>
    </xf>
    <xf numFmtId="0" fontId="6" fillId="34" borderId="18" xfId="60" applyFont="1" applyFill="1" applyBorder="1">
      <alignment/>
      <protection/>
    </xf>
    <xf numFmtId="178" fontId="3" fillId="34" borderId="16" xfId="42" applyNumberFormat="1" applyFont="1" applyFill="1" applyBorder="1" applyAlignment="1">
      <alignment/>
    </xf>
    <xf numFmtId="178" fontId="3" fillId="34" borderId="15" xfId="42" applyNumberFormat="1" applyFont="1" applyFill="1" applyBorder="1" applyAlignment="1">
      <alignment/>
    </xf>
    <xf numFmtId="0" fontId="7" fillId="34" borderId="0" xfId="0" applyFont="1" applyFill="1" applyAlignment="1">
      <alignment/>
    </xf>
    <xf numFmtId="180" fontId="100" fillId="34" borderId="16" xfId="42" applyNumberFormat="1" applyFont="1" applyFill="1" applyBorder="1" applyAlignment="1">
      <alignment/>
    </xf>
    <xf numFmtId="180" fontId="100" fillId="34" borderId="15" xfId="42" applyNumberFormat="1" applyFont="1" applyFill="1" applyBorder="1" applyAlignment="1">
      <alignment/>
    </xf>
    <xf numFmtId="179" fontId="4" fillId="0" borderId="0" xfId="0" applyNumberFormat="1" applyFont="1" applyFill="1" applyBorder="1" applyAlignment="1">
      <alignment/>
    </xf>
    <xf numFmtId="2" fontId="4" fillId="0" borderId="0" xfId="0" applyNumberFormat="1" applyFont="1" applyFill="1" applyBorder="1" applyAlignment="1">
      <alignment/>
    </xf>
    <xf numFmtId="10" fontId="4" fillId="0" borderId="0" xfId="63" applyNumberFormat="1" applyFont="1" applyFill="1" applyBorder="1" applyAlignment="1">
      <alignment/>
    </xf>
    <xf numFmtId="10" fontId="4" fillId="0" borderId="0" xfId="0" applyNumberFormat="1" applyFont="1" applyBorder="1" applyAlignment="1">
      <alignment/>
    </xf>
    <xf numFmtId="0" fontId="3" fillId="0" borderId="0" xfId="0" applyFont="1" applyBorder="1" applyAlignment="1" quotePrefix="1">
      <alignment/>
    </xf>
    <xf numFmtId="179" fontId="4" fillId="0" borderId="0" xfId="63" applyNumberFormat="1" applyFont="1" applyBorder="1" applyAlignment="1">
      <alignment/>
    </xf>
    <xf numFmtId="192" fontId="3" fillId="0" borderId="0" xfId="42" applyNumberFormat="1" applyFont="1" applyFill="1" applyBorder="1" applyAlignment="1">
      <alignment wrapText="1"/>
    </xf>
    <xf numFmtId="180" fontId="3" fillId="0" borderId="0" xfId="59" applyNumberFormat="1" applyFont="1" applyFill="1" applyBorder="1">
      <alignment/>
      <protection/>
    </xf>
    <xf numFmtId="172" fontId="3" fillId="0" borderId="0" xfId="42" applyNumberFormat="1" applyFont="1" applyFill="1" applyBorder="1" applyAlignment="1">
      <alignment/>
    </xf>
    <xf numFmtId="192" fontId="3" fillId="0" borderId="0" xfId="59" applyNumberFormat="1" applyFont="1" applyFill="1" applyBorder="1">
      <alignment/>
      <protection/>
    </xf>
    <xf numFmtId="181" fontId="4" fillId="0" borderId="0" xfId="42" applyNumberFormat="1" applyFont="1" applyFill="1" applyAlignment="1">
      <alignment/>
    </xf>
    <xf numFmtId="10" fontId="4" fillId="0" borderId="0" xfId="64" applyNumberFormat="1" applyFont="1" applyFill="1" applyBorder="1" applyAlignment="1">
      <alignment/>
    </xf>
    <xf numFmtId="0" fontId="32" fillId="0" borderId="0" xfId="0" applyFont="1" applyFill="1" applyBorder="1" applyAlignment="1">
      <alignment horizontal="left"/>
    </xf>
    <xf numFmtId="2" fontId="32" fillId="0" borderId="0" xfId="0" applyNumberFormat="1" applyFont="1" applyFill="1" applyBorder="1" applyAlignment="1">
      <alignment/>
    </xf>
    <xf numFmtId="9" fontId="3" fillId="0" borderId="0" xfId="64" applyNumberFormat="1" applyFont="1" applyFill="1" applyAlignment="1">
      <alignment/>
    </xf>
    <xf numFmtId="0" fontId="3" fillId="0" borderId="0" xfId="59" applyFont="1" applyFill="1" applyBorder="1" applyAlignment="1">
      <alignment wrapText="1"/>
      <protection/>
    </xf>
    <xf numFmtId="0" fontId="3" fillId="0" borderId="0" xfId="59" applyFont="1" applyFill="1" applyBorder="1" applyAlignment="1">
      <alignment horizontal="right" wrapText="1"/>
      <protection/>
    </xf>
    <xf numFmtId="178" fontId="3" fillId="0" borderId="0" xfId="42" applyFont="1" applyFill="1" applyBorder="1" applyAlignment="1">
      <alignment horizontal="right" wrapText="1"/>
    </xf>
    <xf numFmtId="0" fontId="3" fillId="0" borderId="0" xfId="59" applyFont="1" applyBorder="1" applyAlignment="1">
      <alignment horizontal="right" wrapText="1"/>
      <protection/>
    </xf>
    <xf numFmtId="4" fontId="3" fillId="0" borderId="0" xfId="59" applyNumberFormat="1" applyFont="1" applyBorder="1" applyAlignment="1">
      <alignment wrapText="1"/>
      <protection/>
    </xf>
    <xf numFmtId="0" fontId="100" fillId="0" borderId="0" xfId="59" applyFont="1" applyFill="1" applyBorder="1" applyAlignment="1">
      <alignment wrapText="1"/>
      <protection/>
    </xf>
    <xf numFmtId="4" fontId="100" fillId="0" borderId="0" xfId="59" applyNumberFormat="1" applyFont="1" applyFill="1" applyBorder="1" applyAlignment="1">
      <alignment wrapText="1"/>
      <protection/>
    </xf>
    <xf numFmtId="178" fontId="100" fillId="0" borderId="0" xfId="42" applyFont="1" applyFill="1" applyBorder="1" applyAlignment="1">
      <alignment wrapText="1"/>
    </xf>
    <xf numFmtId="9" fontId="100" fillId="0" borderId="0" xfId="64" applyFont="1" applyFill="1" applyBorder="1" applyAlignment="1">
      <alignment wrapText="1"/>
    </xf>
    <xf numFmtId="178" fontId="100" fillId="0" borderId="0" xfId="59" applyNumberFormat="1" applyFont="1" applyFill="1" applyBorder="1" applyAlignment="1">
      <alignment wrapText="1"/>
      <protection/>
    </xf>
    <xf numFmtId="178" fontId="100" fillId="0" borderId="0" xfId="42" applyFont="1" applyFill="1" applyAlignment="1">
      <alignment horizontal="right" wrapText="1"/>
    </xf>
    <xf numFmtId="9" fontId="100" fillId="0" borderId="0" xfId="63" applyFont="1" applyBorder="1" applyAlignment="1">
      <alignment/>
    </xf>
    <xf numFmtId="180" fontId="3" fillId="0" borderId="0" xfId="42" applyNumberFormat="1" applyFont="1" applyFill="1" applyBorder="1" applyAlignment="1">
      <alignment wrapText="1"/>
    </xf>
    <xf numFmtId="192" fontId="33" fillId="0" borderId="0" xfId="42" applyNumberFormat="1" applyFont="1" applyBorder="1" applyAlignment="1">
      <alignment horizontal="right" vertical="center" wrapText="1"/>
    </xf>
    <xf numFmtId="0" fontId="104" fillId="0" borderId="0" xfId="0" applyFont="1" applyAlignment="1">
      <alignment/>
    </xf>
    <xf numFmtId="9" fontId="104" fillId="0" borderId="0" xfId="63" applyNumberFormat="1" applyFont="1" applyFill="1" applyAlignment="1">
      <alignment/>
    </xf>
    <xf numFmtId="192" fontId="104" fillId="0" borderId="0" xfId="42" applyNumberFormat="1" applyFont="1" applyFill="1" applyAlignment="1">
      <alignment horizontal="right" wrapText="1"/>
    </xf>
    <xf numFmtId="0" fontId="104" fillId="0" borderId="0" xfId="59" applyFont="1" applyBorder="1" applyAlignment="1">
      <alignment horizontal="left" wrapText="1"/>
      <protection/>
    </xf>
    <xf numFmtId="0" fontId="104" fillId="0" borderId="0" xfId="59" applyFont="1" applyBorder="1" applyAlignment="1">
      <alignment horizontal="right" wrapText="1"/>
      <protection/>
    </xf>
    <xf numFmtId="178" fontId="104" fillId="0" borderId="0" xfId="42" applyFont="1" applyBorder="1" applyAlignment="1">
      <alignment horizontal="right" wrapText="1"/>
    </xf>
    <xf numFmtId="0" fontId="0" fillId="0" borderId="0" xfId="59" applyBorder="1">
      <alignment/>
      <protection/>
    </xf>
    <xf numFmtId="0" fontId="0" fillId="0" borderId="0" xfId="59" applyFont="1" applyBorder="1">
      <alignment/>
      <protection/>
    </xf>
    <xf numFmtId="0" fontId="2" fillId="0" borderId="0" xfId="59" applyFont="1" applyFill="1" applyBorder="1" applyAlignment="1">
      <alignment horizontal="center"/>
      <protection/>
    </xf>
    <xf numFmtId="180" fontId="0" fillId="0" borderId="0" xfId="42" applyNumberFormat="1" applyBorder="1" applyAlignment="1">
      <alignment/>
    </xf>
    <xf numFmtId="0" fontId="0" fillId="0" borderId="0" xfId="59" applyBorder="1" applyAlignment="1">
      <alignment wrapText="1"/>
      <protection/>
    </xf>
    <xf numFmtId="0" fontId="0" fillId="0" borderId="0" xfId="59" applyFont="1" applyBorder="1" applyAlignment="1">
      <alignment wrapText="1"/>
      <protection/>
    </xf>
    <xf numFmtId="180" fontId="0" fillId="0" borderId="0" xfId="42" applyNumberFormat="1" applyBorder="1" applyAlignment="1">
      <alignment wrapText="1"/>
    </xf>
    <xf numFmtId="0" fontId="5" fillId="0" borderId="0" xfId="60" applyFont="1" applyBorder="1" applyAlignment="1">
      <alignment horizontal="center" vertical="center" wrapText="1"/>
      <protection/>
    </xf>
    <xf numFmtId="0" fontId="6" fillId="0" borderId="0" xfId="59" applyFont="1" applyBorder="1" applyAlignment="1">
      <alignment wrapText="1"/>
      <protection/>
    </xf>
    <xf numFmtId="0" fontId="10" fillId="0" borderId="0" xfId="59" applyFont="1" applyBorder="1" applyAlignment="1">
      <alignment horizontal="center" wrapText="1"/>
      <protection/>
    </xf>
    <xf numFmtId="180" fontId="10" fillId="0" borderId="0" xfId="42" applyNumberFormat="1" applyFont="1" applyBorder="1" applyAlignment="1">
      <alignment horizontal="center" wrapText="1"/>
    </xf>
    <xf numFmtId="9" fontId="0" fillId="0" borderId="0" xfId="64" applyFont="1" applyAlignment="1">
      <alignment/>
    </xf>
    <xf numFmtId="0" fontId="105" fillId="0" borderId="0" xfId="59" applyFont="1" applyBorder="1" applyAlignment="1">
      <alignment wrapText="1"/>
      <protection/>
    </xf>
    <xf numFmtId="180" fontId="105" fillId="0" borderId="0" xfId="42" applyNumberFormat="1" applyFont="1" applyBorder="1" applyAlignment="1">
      <alignment wrapText="1"/>
    </xf>
    <xf numFmtId="0" fontId="117" fillId="0" borderId="0" xfId="59" applyFont="1" applyBorder="1" applyAlignment="1">
      <alignment wrapText="1"/>
      <protection/>
    </xf>
    <xf numFmtId="180" fontId="105" fillId="0" borderId="0" xfId="59" applyNumberFormat="1" applyFont="1" applyBorder="1" applyAlignment="1">
      <alignment wrapText="1"/>
      <protection/>
    </xf>
    <xf numFmtId="180" fontId="104" fillId="0" borderId="0" xfId="42" applyNumberFormat="1" applyFont="1" applyFill="1" applyBorder="1" applyAlignment="1">
      <alignment wrapText="1"/>
    </xf>
    <xf numFmtId="192" fontId="104" fillId="0" borderId="0" xfId="42" applyNumberFormat="1" applyFont="1" applyFill="1" applyBorder="1" applyAlignment="1">
      <alignment wrapText="1"/>
    </xf>
    <xf numFmtId="178" fontId="100" fillId="0" borderId="0" xfId="42" applyFont="1" applyBorder="1" applyAlignment="1">
      <alignment wrapText="1"/>
    </xf>
    <xf numFmtId="9" fontId="100" fillId="0" borderId="0" xfId="64" applyFont="1" applyBorder="1" applyAlignment="1">
      <alignment wrapText="1"/>
    </xf>
    <xf numFmtId="180" fontId="106" fillId="0" borderId="0" xfId="59" applyNumberFormat="1" applyFont="1" applyBorder="1" applyAlignment="1">
      <alignment wrapText="1"/>
      <protection/>
    </xf>
    <xf numFmtId="180" fontId="100" fillId="0" borderId="0" xfId="42" applyNumberFormat="1" applyFont="1" applyFill="1" applyBorder="1" applyAlignment="1">
      <alignment wrapText="1"/>
    </xf>
    <xf numFmtId="192" fontId="104" fillId="0" borderId="0" xfId="42" applyNumberFormat="1" applyFont="1" applyFill="1" applyBorder="1" applyAlignment="1">
      <alignment/>
    </xf>
    <xf numFmtId="192" fontId="104" fillId="0" borderId="0" xfId="42" applyNumberFormat="1" applyFont="1" applyFill="1" applyBorder="1" applyAlignment="1">
      <alignment horizontal="right"/>
    </xf>
    <xf numFmtId="192" fontId="104" fillId="0" borderId="0" xfId="42" applyNumberFormat="1" applyFont="1" applyFill="1" applyBorder="1" applyAlignment="1">
      <alignment horizontal="right" wrapText="1"/>
    </xf>
    <xf numFmtId="0" fontId="104" fillId="0" borderId="0" xfId="59" applyFont="1" applyFill="1" applyBorder="1" applyAlignment="1">
      <alignment wrapText="1"/>
      <protection/>
    </xf>
    <xf numFmtId="4" fontId="104" fillId="0" borderId="0" xfId="59" applyNumberFormat="1" applyFont="1" applyFill="1" applyBorder="1" applyAlignment="1">
      <alignment wrapText="1"/>
      <protection/>
    </xf>
    <xf numFmtId="178" fontId="104" fillId="0" borderId="0" xfId="42" applyFont="1" applyFill="1" applyBorder="1" applyAlignment="1">
      <alignment wrapText="1"/>
    </xf>
    <xf numFmtId="9" fontId="104" fillId="0" borderId="0" xfId="64" applyFont="1" applyFill="1" applyBorder="1" applyAlignment="1">
      <alignment wrapText="1"/>
    </xf>
    <xf numFmtId="178" fontId="104" fillId="0" borderId="0" xfId="42" applyFont="1" applyFill="1" applyBorder="1" applyAlignment="1">
      <alignment horizontal="right" wrapText="1"/>
    </xf>
    <xf numFmtId="192" fontId="104" fillId="0" borderId="0" xfId="42" applyNumberFormat="1" applyFont="1" applyFill="1" applyBorder="1" applyAlignment="1">
      <alignment vertical="center"/>
    </xf>
    <xf numFmtId="192" fontId="104" fillId="0" borderId="0" xfId="42" applyNumberFormat="1" applyFont="1" applyFill="1" applyBorder="1" applyAlignment="1">
      <alignment horizontal="left"/>
    </xf>
    <xf numFmtId="192" fontId="104" fillId="0" borderId="0" xfId="42" applyNumberFormat="1" applyFont="1" applyFill="1" applyBorder="1" applyAlignment="1">
      <alignment horizontal="left" wrapText="1"/>
    </xf>
    <xf numFmtId="0" fontId="104" fillId="0" borderId="0" xfId="59" applyFont="1" applyFill="1" applyBorder="1" applyAlignment="1">
      <alignment horizontal="right" wrapText="1"/>
      <protection/>
    </xf>
    <xf numFmtId="0" fontId="100" fillId="0" borderId="0" xfId="59" applyFont="1" applyBorder="1" applyAlignment="1">
      <alignment horizontal="right" wrapText="1"/>
      <protection/>
    </xf>
    <xf numFmtId="178" fontId="100" fillId="0" borderId="0" xfId="42" applyFont="1" applyBorder="1" applyAlignment="1">
      <alignment horizontal="right" wrapText="1"/>
    </xf>
    <xf numFmtId="192" fontId="100" fillId="0" borderId="0" xfId="42" applyNumberFormat="1" applyFont="1" applyFill="1" applyBorder="1" applyAlignment="1">
      <alignment wrapText="1"/>
    </xf>
    <xf numFmtId="4" fontId="104" fillId="0" borderId="0" xfId="59" applyNumberFormat="1" applyFont="1" applyBorder="1" applyAlignment="1">
      <alignment wrapText="1"/>
      <protection/>
    </xf>
    <xf numFmtId="4" fontId="100" fillId="0" borderId="0" xfId="59" applyNumberFormat="1" applyFont="1" applyBorder="1" applyAlignment="1">
      <alignment wrapText="1"/>
      <protection/>
    </xf>
    <xf numFmtId="9" fontId="0" fillId="0" borderId="0" xfId="64" applyFont="1" applyAlignment="1">
      <alignment/>
    </xf>
    <xf numFmtId="1" fontId="4" fillId="0" borderId="0" xfId="42" applyNumberFormat="1" applyFont="1" applyFill="1" applyAlignment="1">
      <alignment/>
    </xf>
    <xf numFmtId="2" fontId="4" fillId="0" borderId="0" xfId="0" applyNumberFormat="1" applyFont="1" applyFill="1" applyAlignment="1">
      <alignment/>
    </xf>
    <xf numFmtId="192" fontId="4" fillId="0" borderId="0" xfId="42" applyNumberFormat="1" applyFont="1" applyFill="1" applyAlignment="1">
      <alignment horizontal="right"/>
    </xf>
    <xf numFmtId="9" fontId="3" fillId="0" borderId="0" xfId="63" applyNumberFormat="1" applyFont="1" applyFill="1" applyAlignment="1">
      <alignment horizontal="right" wrapText="1"/>
    </xf>
    <xf numFmtId="0" fontId="104" fillId="0" borderId="0" xfId="0" applyFont="1" applyFill="1" applyBorder="1" applyAlignment="1">
      <alignment/>
    </xf>
    <xf numFmtId="0" fontId="118" fillId="0" borderId="0" xfId="0" applyFont="1" applyFill="1" applyBorder="1" applyAlignment="1">
      <alignment/>
    </xf>
    <xf numFmtId="191" fontId="118" fillId="0" borderId="0" xfId="42" applyNumberFormat="1" applyFont="1" applyFill="1" applyBorder="1" applyAlignment="1">
      <alignment/>
    </xf>
    <xf numFmtId="178" fontId="118" fillId="0" borderId="0" xfId="42" applyFont="1" applyFill="1" applyBorder="1" applyAlignment="1">
      <alignment/>
    </xf>
    <xf numFmtId="178" fontId="104" fillId="0" borderId="0" xfId="42" applyFont="1" applyFill="1" applyBorder="1" applyAlignment="1">
      <alignment/>
    </xf>
    <xf numFmtId="178" fontId="104" fillId="0" borderId="0" xfId="42" applyFont="1" applyFill="1" applyAlignment="1">
      <alignment/>
    </xf>
    <xf numFmtId="178" fontId="104" fillId="0" borderId="0" xfId="42" applyFont="1" applyFill="1" applyAlignment="1">
      <alignment horizontal="right"/>
    </xf>
    <xf numFmtId="178" fontId="104" fillId="0" borderId="0" xfId="42" applyFont="1" applyFill="1" applyAlignment="1">
      <alignment horizontal="right" wrapText="1"/>
    </xf>
    <xf numFmtId="1" fontId="4" fillId="0" borderId="0" xfId="0" applyNumberFormat="1" applyFont="1" applyFill="1" applyAlignment="1">
      <alignment/>
    </xf>
    <xf numFmtId="10" fontId="100" fillId="0" borderId="0" xfId="63" applyNumberFormat="1" applyFont="1" applyBorder="1" applyAlignment="1">
      <alignment/>
    </xf>
    <xf numFmtId="1" fontId="3" fillId="0" borderId="0" xfId="42" applyNumberFormat="1" applyFont="1" applyFill="1" applyBorder="1" applyAlignment="1">
      <alignment/>
    </xf>
    <xf numFmtId="1" fontId="3" fillId="0" borderId="0" xfId="0" applyNumberFormat="1" applyFont="1" applyFill="1" applyBorder="1" applyAlignment="1">
      <alignment/>
    </xf>
    <xf numFmtId="1" fontId="100" fillId="0" borderId="0" xfId="42" applyNumberFormat="1" applyFont="1" applyFill="1" applyAlignment="1">
      <alignment/>
    </xf>
    <xf numFmtId="179" fontId="4" fillId="0" borderId="0" xfId="64" applyNumberFormat="1" applyFont="1" applyFill="1" applyAlignment="1">
      <alignment/>
    </xf>
    <xf numFmtId="179" fontId="3" fillId="0" borderId="0" xfId="64" applyNumberFormat="1" applyFont="1" applyFill="1" applyBorder="1" applyAlignment="1">
      <alignment/>
    </xf>
    <xf numFmtId="179" fontId="99" fillId="0" borderId="15" xfId="63" applyNumberFormat="1" applyFont="1" applyFill="1" applyBorder="1" applyAlignment="1">
      <alignment/>
    </xf>
    <xf numFmtId="179" fontId="99" fillId="0" borderId="15" xfId="63" applyNumberFormat="1" applyFont="1" applyBorder="1" applyAlignment="1">
      <alignment/>
    </xf>
    <xf numFmtId="0" fontId="100" fillId="0" borderId="0" xfId="0" applyFont="1" applyFill="1" applyBorder="1" applyAlignment="1">
      <alignment wrapText="1"/>
    </xf>
    <xf numFmtId="180" fontId="100" fillId="0" borderId="0" xfId="42" applyNumberFormat="1" applyFont="1" applyFill="1" applyAlignment="1">
      <alignment/>
    </xf>
    <xf numFmtId="10" fontId="100" fillId="0" borderId="0" xfId="64" applyNumberFormat="1" applyFont="1" applyFill="1" applyAlignment="1">
      <alignment/>
    </xf>
    <xf numFmtId="180" fontId="119" fillId="0" borderId="0" xfId="42" applyNumberFormat="1" applyFont="1" applyFill="1" applyBorder="1" applyAlignment="1">
      <alignment/>
    </xf>
    <xf numFmtId="9" fontId="119" fillId="0" borderId="0" xfId="0" applyNumberFormat="1" applyFont="1" applyFill="1" applyBorder="1" applyAlignment="1">
      <alignment/>
    </xf>
    <xf numFmtId="0" fontId="119" fillId="0" borderId="0" xfId="0" applyFont="1" applyFill="1" applyBorder="1" applyAlignment="1">
      <alignment/>
    </xf>
    <xf numFmtId="0" fontId="100" fillId="0" borderId="0" xfId="0" applyFont="1" applyFill="1" applyAlignment="1">
      <alignment/>
    </xf>
    <xf numFmtId="0" fontId="119" fillId="0" borderId="0" xfId="0" applyFont="1" applyFill="1" applyBorder="1" applyAlignment="1">
      <alignment/>
    </xf>
    <xf numFmtId="183" fontId="100" fillId="0" borderId="0" xfId="0" applyNumberFormat="1" applyFont="1" applyFill="1" applyBorder="1" applyAlignment="1">
      <alignment/>
    </xf>
    <xf numFmtId="9" fontId="100" fillId="0" borderId="0" xfId="0" applyNumberFormat="1" applyFont="1" applyFill="1" applyBorder="1" applyAlignment="1">
      <alignment/>
    </xf>
    <xf numFmtId="9" fontId="100" fillId="0" borderId="0" xfId="64" applyNumberFormat="1" applyFont="1" applyBorder="1" applyAlignment="1">
      <alignment/>
    </xf>
    <xf numFmtId="183" fontId="100" fillId="0" borderId="0" xfId="0" applyNumberFormat="1" applyFont="1" applyFill="1" applyBorder="1" applyAlignment="1">
      <alignment horizontal="center"/>
    </xf>
    <xf numFmtId="9" fontId="100" fillId="0" borderId="0" xfId="42" applyNumberFormat="1" applyFont="1" applyBorder="1" applyAlignment="1">
      <alignment/>
    </xf>
    <xf numFmtId="181" fontId="3" fillId="0" borderId="15" xfId="60" applyNumberFormat="1" applyFont="1" applyFill="1" applyBorder="1">
      <alignment/>
      <protection/>
    </xf>
    <xf numFmtId="9" fontId="7" fillId="0" borderId="18" xfId="64" applyFont="1" applyFill="1" applyBorder="1" applyAlignment="1">
      <alignment/>
    </xf>
    <xf numFmtId="180" fontId="3" fillId="0" borderId="16" xfId="42" applyNumberFormat="1" applyFont="1" applyFill="1" applyBorder="1" applyAlignment="1">
      <alignment/>
    </xf>
    <xf numFmtId="180" fontId="3" fillId="0" borderId="15" xfId="42" applyNumberFormat="1" applyFont="1" applyFill="1" applyBorder="1" applyAlignment="1">
      <alignment/>
    </xf>
    <xf numFmtId="10" fontId="6" fillId="0" borderId="15" xfId="0" applyNumberFormat="1" applyFont="1" applyBorder="1" applyAlignment="1">
      <alignment horizontal="center"/>
    </xf>
    <xf numFmtId="0" fontId="104" fillId="0" borderId="0" xfId="0" applyFont="1" applyFill="1" applyAlignment="1">
      <alignment/>
    </xf>
    <xf numFmtId="178" fontId="104" fillId="0" borderId="0" xfId="42" applyNumberFormat="1" applyFont="1" applyFill="1" applyAlignment="1">
      <alignment/>
    </xf>
    <xf numFmtId="9" fontId="104" fillId="0" borderId="0" xfId="0" applyNumberFormat="1" applyFont="1" applyFill="1" applyAlignment="1">
      <alignment/>
    </xf>
    <xf numFmtId="1" fontId="104" fillId="0" borderId="0" xfId="0" applyNumberFormat="1" applyFont="1" applyFill="1" applyAlignment="1">
      <alignment/>
    </xf>
    <xf numFmtId="192" fontId="104" fillId="0" borderId="0" xfId="42" applyNumberFormat="1" applyFont="1" applyFill="1" applyAlignment="1">
      <alignment horizontal="right"/>
    </xf>
    <xf numFmtId="9" fontId="104" fillId="0" borderId="0" xfId="64" applyNumberFormat="1" applyFont="1" applyFill="1" applyAlignment="1">
      <alignment horizontal="right" wrapText="1"/>
    </xf>
    <xf numFmtId="1" fontId="104" fillId="0" borderId="0" xfId="42" applyNumberFormat="1" applyFont="1" applyFill="1" applyAlignment="1">
      <alignment/>
    </xf>
    <xf numFmtId="180" fontId="104" fillId="0" borderId="0" xfId="0" applyNumberFormat="1" applyFont="1" applyFill="1" applyAlignment="1">
      <alignment/>
    </xf>
    <xf numFmtId="2" fontId="104" fillId="0" borderId="0" xfId="0" applyNumberFormat="1" applyFont="1" applyFill="1" applyAlignment="1">
      <alignment/>
    </xf>
    <xf numFmtId="180" fontId="104" fillId="0" borderId="0" xfId="42" applyNumberFormat="1" applyFont="1" applyFill="1" applyAlignment="1">
      <alignment horizontal="right" wrapText="1"/>
    </xf>
    <xf numFmtId="192" fontId="104" fillId="0" borderId="0" xfId="0" applyNumberFormat="1" applyFont="1" applyFill="1" applyAlignment="1">
      <alignment horizontal="right"/>
    </xf>
    <xf numFmtId="186" fontId="3" fillId="9" borderId="15" xfId="60" applyNumberFormat="1" applyFont="1" applyFill="1" applyBorder="1">
      <alignment/>
      <protection/>
    </xf>
    <xf numFmtId="186" fontId="3" fillId="9" borderId="16" xfId="60" applyNumberFormat="1" applyFont="1" applyFill="1" applyBorder="1">
      <alignment/>
      <protection/>
    </xf>
    <xf numFmtId="193" fontId="3" fillId="35" borderId="10" xfId="0" applyNumberFormat="1" applyFont="1" applyFill="1" applyBorder="1" applyAlignment="1">
      <alignment horizontal="left" vertical="center" wrapText="1"/>
    </xf>
    <xf numFmtId="0" fontId="3" fillId="35" borderId="10" xfId="0" applyFont="1" applyFill="1" applyBorder="1" applyAlignment="1">
      <alignment horizontal="left"/>
    </xf>
    <xf numFmtId="195" fontId="3" fillId="35" borderId="10" xfId="0" applyNumberFormat="1" applyFont="1" applyFill="1" applyBorder="1" applyAlignment="1">
      <alignment horizontal="left"/>
    </xf>
    <xf numFmtId="7" fontId="3" fillId="35" borderId="10" xfId="0" applyNumberFormat="1" applyFont="1" applyFill="1" applyBorder="1" applyAlignment="1">
      <alignment horizontal="left"/>
    </xf>
    <xf numFmtId="193" fontId="104" fillId="35" borderId="10" xfId="0" applyNumberFormat="1" applyFont="1" applyFill="1" applyBorder="1" applyAlignment="1">
      <alignment horizontal="left"/>
    </xf>
    <xf numFmtId="195" fontId="104" fillId="35" borderId="10" xfId="0" applyNumberFormat="1" applyFont="1" applyFill="1" applyBorder="1" applyAlignment="1">
      <alignment horizontal="left"/>
    </xf>
    <xf numFmtId="0" fontId="3" fillId="36" borderId="10" xfId="0" applyFont="1" applyFill="1" applyBorder="1" applyAlignment="1">
      <alignment vertical="top" wrapText="1"/>
    </xf>
    <xf numFmtId="192" fontId="4" fillId="35" borderId="10" xfId="42" applyNumberFormat="1" applyFont="1" applyFill="1" applyBorder="1" applyAlignment="1">
      <alignment horizontal="left" wrapText="1"/>
    </xf>
    <xf numFmtId="192" fontId="104" fillId="35" borderId="10" xfId="0" applyNumberFormat="1" applyFont="1" applyFill="1" applyBorder="1" applyAlignment="1">
      <alignment horizontal="left"/>
    </xf>
    <xf numFmtId="181" fontId="104" fillId="35" borderId="10" xfId="42" applyNumberFormat="1" applyFont="1" applyFill="1" applyBorder="1" applyAlignment="1">
      <alignment horizontal="left"/>
    </xf>
    <xf numFmtId="178" fontId="4" fillId="36" borderId="10" xfId="42" applyFont="1" applyFill="1" applyBorder="1" applyAlignment="1">
      <alignment horizontal="left" vertical="top" wrapText="1"/>
    </xf>
    <xf numFmtId="192" fontId="4" fillId="36" borderId="10" xfId="0" applyNumberFormat="1" applyFont="1" applyFill="1" applyBorder="1" applyAlignment="1">
      <alignment horizontal="left"/>
    </xf>
    <xf numFmtId="9" fontId="3" fillId="36" borderId="10" xfId="64" applyNumberFormat="1" applyFont="1" applyFill="1" applyBorder="1" applyAlignment="1">
      <alignment horizontal="left" wrapText="1"/>
    </xf>
    <xf numFmtId="0" fontId="4" fillId="36" borderId="23" xfId="0" applyFont="1" applyFill="1" applyBorder="1" applyAlignment="1">
      <alignment horizontal="right" vertical="top" wrapText="1"/>
    </xf>
    <xf numFmtId="0" fontId="3" fillId="35" borderId="25" xfId="0" applyFont="1" applyFill="1" applyBorder="1" applyAlignment="1">
      <alignment horizontal="left" vertical="top" wrapText="1"/>
    </xf>
    <xf numFmtId="0" fontId="104" fillId="35" borderId="10" xfId="0" applyFont="1" applyFill="1" applyBorder="1" applyAlignment="1">
      <alignment vertical="top" wrapText="1"/>
    </xf>
    <xf numFmtId="0" fontId="4" fillId="36" borderId="10" xfId="0" applyFont="1" applyFill="1" applyBorder="1" applyAlignment="1">
      <alignment horizontal="right" vertical="top" wrapText="1"/>
    </xf>
    <xf numFmtId="192" fontId="3" fillId="36" borderId="10" xfId="0" applyNumberFormat="1" applyFont="1" applyFill="1" applyBorder="1" applyAlignment="1">
      <alignment horizontal="left"/>
    </xf>
    <xf numFmtId="5" fontId="4" fillId="36" borderId="10" xfId="42" applyNumberFormat="1" applyFont="1" applyFill="1" applyBorder="1" applyAlignment="1">
      <alignment horizontal="left" vertical="top" wrapText="1"/>
    </xf>
    <xf numFmtId="0" fontId="100" fillId="36" borderId="10" xfId="0" applyFont="1" applyFill="1" applyBorder="1" applyAlignment="1">
      <alignment wrapText="1"/>
    </xf>
    <xf numFmtId="7" fontId="100" fillId="35" borderId="10" xfId="42" applyNumberFormat="1" applyFont="1" applyFill="1" applyBorder="1" applyAlignment="1">
      <alignment horizontal="left" vertical="top" wrapText="1"/>
    </xf>
    <xf numFmtId="0" fontId="100" fillId="35" borderId="10" xfId="0" applyFont="1" applyFill="1" applyBorder="1" applyAlignment="1">
      <alignment wrapText="1"/>
    </xf>
    <xf numFmtId="192" fontId="100" fillId="35" borderId="10" xfId="42" applyNumberFormat="1" applyFont="1" applyFill="1" applyBorder="1" applyAlignment="1">
      <alignment horizontal="left"/>
    </xf>
    <xf numFmtId="9" fontId="100" fillId="35" borderId="10" xfId="64" applyNumberFormat="1" applyFont="1" applyFill="1" applyBorder="1" applyAlignment="1">
      <alignment horizontal="left" wrapText="1"/>
    </xf>
    <xf numFmtId="7" fontId="104" fillId="35" borderId="10" xfId="42" applyNumberFormat="1" applyFont="1" applyFill="1" applyBorder="1" applyAlignment="1">
      <alignment horizontal="left" vertical="top" wrapText="1"/>
    </xf>
    <xf numFmtId="0" fontId="100" fillId="35" borderId="0" xfId="0" applyFont="1" applyFill="1" applyAlignment="1">
      <alignment/>
    </xf>
    <xf numFmtId="178" fontId="104" fillId="35" borderId="10" xfId="42" applyFont="1" applyFill="1" applyBorder="1" applyAlignment="1">
      <alignment wrapText="1"/>
    </xf>
    <xf numFmtId="0" fontId="13" fillId="35" borderId="0" xfId="0" applyFont="1" applyFill="1" applyAlignment="1">
      <alignment horizontal="center"/>
    </xf>
    <xf numFmtId="0" fontId="4" fillId="36" borderId="10" xfId="0" applyFont="1" applyFill="1" applyBorder="1" applyAlignment="1" quotePrefix="1">
      <alignment wrapText="1"/>
    </xf>
    <xf numFmtId="0" fontId="4" fillId="36" borderId="10" xfId="0" applyFont="1" applyFill="1" applyBorder="1" applyAlignment="1">
      <alignment vertical="center" wrapText="1"/>
    </xf>
    <xf numFmtId="195" fontId="3" fillId="35" borderId="10" xfId="0" applyNumberFormat="1" applyFont="1" applyFill="1" applyBorder="1" applyAlignment="1">
      <alignment horizontal="left" vertical="center" wrapText="1"/>
    </xf>
    <xf numFmtId="178" fontId="3" fillId="35" borderId="10" xfId="42" applyFont="1" applyFill="1" applyBorder="1" applyAlignment="1">
      <alignment wrapText="1"/>
    </xf>
    <xf numFmtId="192" fontId="100" fillId="35" borderId="10" xfId="0" applyNumberFormat="1" applyFont="1" applyFill="1" applyBorder="1" applyAlignment="1">
      <alignment horizontal="left"/>
    </xf>
    <xf numFmtId="0" fontId="104" fillId="35" borderId="10" xfId="0" applyFont="1" applyFill="1" applyBorder="1" applyAlignment="1">
      <alignment horizontal="right" vertical="top" wrapText="1"/>
    </xf>
    <xf numFmtId="0" fontId="3" fillId="35" borderId="10" xfId="0" applyFont="1" applyFill="1" applyBorder="1" applyAlignment="1">
      <alignment horizontal="right" vertical="top" wrapText="1"/>
    </xf>
    <xf numFmtId="6" fontId="3" fillId="35" borderId="10" xfId="0" applyNumberFormat="1" applyFont="1" applyFill="1" applyBorder="1" applyAlignment="1">
      <alignment horizontal="left" vertical="top" wrapText="1"/>
    </xf>
    <xf numFmtId="181" fontId="4" fillId="35" borderId="10" xfId="42" applyNumberFormat="1" applyFont="1" applyFill="1" applyBorder="1" applyAlignment="1">
      <alignment horizontal="left" vertical="top"/>
    </xf>
    <xf numFmtId="9" fontId="3" fillId="35" borderId="10" xfId="64" applyNumberFormat="1" applyFont="1" applyFill="1" applyBorder="1" applyAlignment="1">
      <alignment horizontal="left" vertical="top" wrapText="1"/>
    </xf>
    <xf numFmtId="192" fontId="120" fillId="35" borderId="10" xfId="0" applyNumberFormat="1" applyFont="1" applyFill="1" applyBorder="1" applyAlignment="1">
      <alignment horizontal="left"/>
    </xf>
    <xf numFmtId="181" fontId="120" fillId="35" borderId="10" xfId="42" applyNumberFormat="1" applyFont="1" applyFill="1" applyBorder="1" applyAlignment="1">
      <alignment horizontal="left"/>
    </xf>
    <xf numFmtId="9" fontId="104" fillId="35" borderId="10" xfId="64" applyNumberFormat="1" applyFont="1" applyFill="1" applyBorder="1" applyAlignment="1">
      <alignment horizontal="left" vertical="top" wrapText="1"/>
    </xf>
    <xf numFmtId="0" fontId="4" fillId="35" borderId="0" xfId="0" applyFont="1" applyFill="1" applyAlignment="1">
      <alignment wrapText="1"/>
    </xf>
    <xf numFmtId="0" fontId="105" fillId="35" borderId="10" xfId="0" applyFont="1" applyFill="1" applyBorder="1" applyAlignment="1">
      <alignment wrapText="1"/>
    </xf>
    <xf numFmtId="9" fontId="104" fillId="35" borderId="10" xfId="64" applyNumberFormat="1" applyFont="1" applyFill="1" applyBorder="1" applyAlignment="1">
      <alignment horizontal="left" vertical="center" wrapText="1"/>
    </xf>
    <xf numFmtId="1" fontId="104" fillId="35" borderId="10" xfId="42" applyNumberFormat="1" applyFont="1" applyFill="1" applyBorder="1" applyAlignment="1">
      <alignment wrapText="1"/>
    </xf>
    <xf numFmtId="0" fontId="4" fillId="36" borderId="10" xfId="0" applyFont="1" applyFill="1" applyBorder="1" applyAlignment="1">
      <alignment horizontal="justify" vertical="center" wrapText="1"/>
    </xf>
    <xf numFmtId="0" fontId="23" fillId="35" borderId="10" xfId="0" applyFont="1" applyFill="1" applyBorder="1" applyAlignment="1">
      <alignment wrapText="1"/>
    </xf>
    <xf numFmtId="0" fontId="22" fillId="35" borderId="10" xfId="0" applyFont="1" applyFill="1" applyBorder="1" applyAlignment="1">
      <alignment wrapText="1"/>
    </xf>
    <xf numFmtId="0" fontId="4" fillId="0" borderId="10" xfId="0" applyFont="1" applyBorder="1" applyAlignment="1">
      <alignment wrapText="1"/>
    </xf>
    <xf numFmtId="178" fontId="120" fillId="35" borderId="10" xfId="42" applyFont="1" applyFill="1" applyBorder="1" applyAlignment="1">
      <alignment horizontal="left" vertical="top" wrapText="1"/>
    </xf>
    <xf numFmtId="5" fontId="104" fillId="35" borderId="10" xfId="42" applyNumberFormat="1" applyFont="1" applyFill="1" applyBorder="1" applyAlignment="1">
      <alignment horizontal="left" vertical="top" wrapText="1"/>
    </xf>
    <xf numFmtId="0" fontId="120" fillId="35" borderId="0" xfId="0" applyFont="1" applyFill="1" applyAlignment="1">
      <alignment/>
    </xf>
    <xf numFmtId="178" fontId="104" fillId="35" borderId="10" xfId="42" applyFont="1" applyFill="1" applyBorder="1" applyAlignment="1">
      <alignment horizontal="left" vertical="top" wrapText="1"/>
    </xf>
    <xf numFmtId="0" fontId="118" fillId="0" borderId="0" xfId="59" applyFont="1" applyBorder="1" applyAlignment="1">
      <alignment wrapText="1"/>
      <protection/>
    </xf>
    <xf numFmtId="0" fontId="118" fillId="0" borderId="0" xfId="0" applyFont="1" applyAlignment="1">
      <alignment/>
    </xf>
    <xf numFmtId="9" fontId="104" fillId="0" borderId="0" xfId="59" applyNumberFormat="1" applyFont="1" applyBorder="1">
      <alignment/>
      <protection/>
    </xf>
    <xf numFmtId="10" fontId="7" fillId="0" borderId="15" xfId="64" applyNumberFormat="1" applyFont="1" applyFill="1" applyBorder="1" applyAlignment="1">
      <alignment/>
    </xf>
    <xf numFmtId="10" fontId="7" fillId="0" borderId="15" xfId="63" applyNumberFormat="1" applyFont="1" applyBorder="1" applyAlignment="1">
      <alignment/>
    </xf>
    <xf numFmtId="10" fontId="107" fillId="0" borderId="15" xfId="63" applyNumberFormat="1" applyFont="1" applyBorder="1" applyAlignment="1">
      <alignment/>
    </xf>
    <xf numFmtId="10" fontId="99" fillId="34" borderId="15" xfId="60" applyNumberFormat="1" applyFont="1" applyFill="1" applyBorder="1">
      <alignment/>
      <protection/>
    </xf>
    <xf numFmtId="10" fontId="99" fillId="0" borderId="15" xfId="60" applyNumberFormat="1" applyFont="1" applyBorder="1">
      <alignment/>
      <protection/>
    </xf>
    <xf numFmtId="178" fontId="3" fillId="0" borderId="0" xfId="60" applyNumberFormat="1" applyFont="1" applyFill="1">
      <alignment/>
      <protection/>
    </xf>
    <xf numFmtId="10" fontId="7" fillId="0" borderId="15" xfId="63" applyNumberFormat="1" applyFont="1" applyFill="1" applyBorder="1" applyAlignment="1">
      <alignment/>
    </xf>
    <xf numFmtId="49" fontId="3" fillId="0" borderId="0" xfId="60" applyNumberFormat="1" applyFont="1" applyFill="1" applyAlignment="1">
      <alignment horizontal="left"/>
      <protection/>
    </xf>
    <xf numFmtId="186" fontId="3" fillId="0" borderId="15" xfId="60" applyNumberFormat="1" applyFont="1" applyFill="1" applyBorder="1">
      <alignment/>
      <protection/>
    </xf>
    <xf numFmtId="10" fontId="7" fillId="0" borderId="18" xfId="60" applyNumberFormat="1" applyFont="1" applyFill="1" applyBorder="1">
      <alignment/>
      <protection/>
    </xf>
    <xf numFmtId="180" fontId="4" fillId="0" borderId="0" xfId="42" applyNumberFormat="1" applyFont="1" applyFill="1" applyAlignment="1" quotePrefix="1">
      <alignment wrapText="1"/>
    </xf>
    <xf numFmtId="0" fontId="6" fillId="0" borderId="0" xfId="60" applyFont="1" applyFill="1" applyAlignment="1">
      <alignment horizontal="center" vertical="center" wrapText="1"/>
      <protection/>
    </xf>
    <xf numFmtId="0" fontId="5" fillId="0" borderId="0" xfId="60" applyFont="1" applyFill="1" applyAlignment="1">
      <alignment horizontal="center" vertical="center" wrapText="1"/>
      <protection/>
    </xf>
    <xf numFmtId="180" fontId="4" fillId="0" borderId="0" xfId="42" applyNumberFormat="1" applyFont="1" applyFill="1" applyBorder="1" applyAlignment="1" quotePrefix="1">
      <alignment horizontal="center" vertical="center" wrapText="1"/>
    </xf>
    <xf numFmtId="0" fontId="4" fillId="0" borderId="0" xfId="0" applyFont="1" applyFill="1" applyAlignment="1">
      <alignment horizontal="center" vertical="center"/>
    </xf>
    <xf numFmtId="0" fontId="10" fillId="0" borderId="0" xfId="0" applyFont="1" applyFill="1" applyAlignment="1">
      <alignment/>
    </xf>
    <xf numFmtId="9" fontId="4" fillId="0" borderId="0" xfId="63" applyNumberFormat="1" applyFont="1" applyFill="1" applyAlignment="1">
      <alignment horizontal="right" wrapText="1"/>
    </xf>
    <xf numFmtId="0" fontId="3" fillId="0" borderId="0" xfId="0" applyFont="1" applyFill="1" applyBorder="1" applyAlignment="1">
      <alignment/>
    </xf>
    <xf numFmtId="0" fontId="7" fillId="0" borderId="0" xfId="0" applyFont="1" applyFill="1" applyBorder="1" applyAlignment="1">
      <alignment/>
    </xf>
    <xf numFmtId="191" fontId="7" fillId="0" borderId="0" xfId="42" applyNumberFormat="1" applyFont="1" applyFill="1" applyBorder="1" applyAlignment="1">
      <alignment/>
    </xf>
    <xf numFmtId="191" fontId="3" fillId="0" borderId="0" xfId="42" applyNumberFormat="1" applyFont="1" applyFill="1" applyBorder="1" applyAlignment="1">
      <alignment/>
    </xf>
    <xf numFmtId="0" fontId="3" fillId="0" borderId="0" xfId="63" applyNumberFormat="1" applyFont="1" applyFill="1" applyAlignment="1">
      <alignment horizontal="right" wrapText="1"/>
    </xf>
    <xf numFmtId="9" fontId="3" fillId="0" borderId="0" xfId="64" applyNumberFormat="1" applyFont="1" applyFill="1" applyAlignment="1">
      <alignment horizontal="right" wrapText="1"/>
    </xf>
    <xf numFmtId="0" fontId="3" fillId="35" borderId="23" xfId="0" applyFont="1" applyFill="1" applyBorder="1" applyAlignment="1">
      <alignment vertical="center" wrapText="1"/>
    </xf>
    <xf numFmtId="0" fontId="3" fillId="35" borderId="25" xfId="0" applyFont="1" applyFill="1" applyBorder="1" applyAlignment="1">
      <alignment vertical="center" wrapText="1"/>
    </xf>
    <xf numFmtId="0" fontId="3" fillId="0" borderId="0" xfId="60" applyFont="1" applyAlignment="1">
      <alignment horizontal="center" vertical="center"/>
      <protection/>
    </xf>
    <xf numFmtId="0" fontId="98" fillId="0" borderId="0" xfId="60" applyFont="1" applyAlignment="1">
      <alignment horizontal="center"/>
      <protection/>
    </xf>
    <xf numFmtId="0" fontId="3" fillId="0" borderId="0" xfId="60" applyFont="1" applyAlignment="1">
      <alignment vertical="center"/>
      <protection/>
    </xf>
    <xf numFmtId="0" fontId="3" fillId="0" borderId="0" xfId="60" applyFont="1" applyAlignment="1">
      <alignment horizontal="center" vertical="center" wrapText="1"/>
      <protection/>
    </xf>
    <xf numFmtId="0" fontId="17" fillId="0" borderId="0" xfId="60" applyFont="1" applyAlignment="1">
      <alignment horizontal="center" wrapText="1"/>
      <protection/>
    </xf>
    <xf numFmtId="0" fontId="17" fillId="0" borderId="11" xfId="60" applyFont="1" applyBorder="1" applyAlignment="1">
      <alignment horizontal="center" wrapText="1"/>
      <protection/>
    </xf>
    <xf numFmtId="0" fontId="4" fillId="0" borderId="26" xfId="60" applyFont="1" applyBorder="1" applyAlignment="1">
      <alignment horizontal="center" wrapText="1"/>
      <protection/>
    </xf>
    <xf numFmtId="0" fontId="4" fillId="0" borderId="12" xfId="60" applyFont="1" applyBorder="1" applyAlignment="1">
      <alignment horizontal="center" wrapText="1"/>
      <protection/>
    </xf>
    <xf numFmtId="0" fontId="97" fillId="0" borderId="0" xfId="60" applyFont="1" applyBorder="1" applyAlignment="1">
      <alignment horizontal="center" wrapText="1"/>
      <protection/>
    </xf>
    <xf numFmtId="0" fontId="2" fillId="0" borderId="0" xfId="0" applyFont="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left" vertical="top" wrapText="1"/>
    </xf>
    <xf numFmtId="0" fontId="4" fillId="0" borderId="0" xfId="0" applyFont="1" applyFill="1" applyBorder="1" applyAlignment="1">
      <alignment horizontal="justify" vertical="top" wrapText="1"/>
    </xf>
    <xf numFmtId="0" fontId="2" fillId="0" borderId="0" xfId="60" applyFont="1" applyBorder="1" applyAlignment="1">
      <alignment horizontal="center" wrapText="1"/>
      <protection/>
    </xf>
    <xf numFmtId="0" fontId="2" fillId="0" borderId="0" xfId="59" applyFont="1" applyFill="1" applyAlignment="1">
      <alignment horizontal="center"/>
      <protection/>
    </xf>
    <xf numFmtId="0" fontId="2" fillId="0" borderId="0" xfId="0" applyFont="1" applyFill="1" applyAlignment="1">
      <alignment horizontal="center" vertical="center"/>
    </xf>
    <xf numFmtId="0" fontId="2" fillId="36" borderId="23" xfId="0" applyFont="1" applyFill="1" applyBorder="1" applyAlignment="1">
      <alignment horizontal="center" wrapText="1"/>
    </xf>
    <xf numFmtId="0" fontId="2" fillId="36" borderId="25" xfId="0" applyFont="1" applyFill="1" applyBorder="1" applyAlignment="1">
      <alignment horizontal="center" wrapText="1"/>
    </xf>
    <xf numFmtId="0" fontId="4" fillId="35" borderId="23" xfId="0" applyFont="1" applyFill="1" applyBorder="1" applyAlignment="1">
      <alignment horizontal="center" wrapText="1"/>
    </xf>
    <xf numFmtId="0" fontId="4" fillId="35" borderId="25" xfId="0" applyFont="1" applyFill="1" applyBorder="1" applyAlignment="1">
      <alignment horizontal="center" wrapText="1"/>
    </xf>
    <xf numFmtId="0" fontId="2" fillId="35" borderId="23" xfId="0" applyFont="1" applyFill="1" applyBorder="1" applyAlignment="1">
      <alignment horizontal="center" wrapText="1"/>
    </xf>
    <xf numFmtId="0" fontId="2" fillId="35" borderId="12" xfId="0" applyFont="1" applyFill="1" applyBorder="1" applyAlignment="1">
      <alignment horizontal="center" wrapText="1"/>
    </xf>
    <xf numFmtId="0" fontId="2" fillId="35" borderId="25" xfId="0" applyFont="1" applyFill="1" applyBorder="1" applyAlignment="1">
      <alignment horizontal="center" wrapText="1"/>
    </xf>
    <xf numFmtId="0" fontId="3" fillId="36" borderId="23" xfId="0" applyFont="1" applyFill="1" applyBorder="1" applyAlignment="1">
      <alignment horizontal="left" vertical="top" wrapText="1"/>
    </xf>
    <xf numFmtId="0" fontId="3" fillId="36" borderId="12" xfId="0" applyFont="1" applyFill="1" applyBorder="1" applyAlignment="1">
      <alignment horizontal="left" vertical="top" wrapText="1"/>
    </xf>
    <xf numFmtId="0" fontId="3" fillId="36" borderId="25" xfId="0" applyFont="1" applyFill="1" applyBorder="1" applyAlignment="1">
      <alignment horizontal="left" vertical="top" wrapText="1"/>
    </xf>
    <xf numFmtId="192" fontId="104" fillId="0" borderId="0" xfId="42" applyNumberFormat="1" applyFont="1" applyFill="1" applyBorder="1" applyAlignment="1">
      <alignment horizontal="center" vertical="center"/>
    </xf>
    <xf numFmtId="192" fontId="104" fillId="0" borderId="0" xfId="42" applyNumberFormat="1" applyFont="1" applyFill="1" applyBorder="1" applyAlignment="1">
      <alignment horizontal="center" vertical="center" wrapText="1"/>
    </xf>
    <xf numFmtId="0" fontId="2" fillId="0" borderId="0" xfId="0" applyFont="1" applyFill="1" applyAlignment="1">
      <alignment horizontal="center"/>
    </xf>
    <xf numFmtId="0" fontId="0" fillId="0" borderId="0" xfId="0" applyFont="1" applyFill="1" applyAlignment="1">
      <alignment horizontal="center" wrapText="1"/>
    </xf>
    <xf numFmtId="0" fontId="3" fillId="0" borderId="0" xfId="0" applyFont="1" applyFill="1" applyAlignment="1">
      <alignment horizontal="center" wrapText="1"/>
    </xf>
    <xf numFmtId="0" fontId="104" fillId="0" borderId="0" xfId="60" applyFont="1">
      <alignment/>
      <protection/>
    </xf>
    <xf numFmtId="49" fontId="104" fillId="0" borderId="0" xfId="60" applyNumberFormat="1" applyFont="1" applyAlignment="1">
      <alignment horizontal="center"/>
      <protection/>
    </xf>
    <xf numFmtId="186" fontId="104" fillId="0" borderId="16" xfId="60" applyNumberFormat="1" applyFont="1" applyBorder="1">
      <alignment/>
      <protection/>
    </xf>
    <xf numFmtId="10" fontId="118" fillId="0" borderId="18" xfId="60" applyNumberFormat="1" applyFont="1" applyBorder="1">
      <alignment/>
      <protection/>
    </xf>
    <xf numFmtId="186" fontId="104" fillId="0" borderId="16" xfId="60" applyNumberFormat="1" applyFont="1" applyFill="1" applyBorder="1">
      <alignment/>
      <protection/>
    </xf>
    <xf numFmtId="188" fontId="104" fillId="0" borderId="16" xfId="42" applyNumberFormat="1" applyFont="1" applyFill="1" applyBorder="1" applyAlignment="1">
      <alignment/>
    </xf>
    <xf numFmtId="10" fontId="118" fillId="0" borderId="15" xfId="63" applyNumberFormat="1" applyFont="1" applyBorder="1" applyAlignment="1">
      <alignment/>
    </xf>
    <xf numFmtId="0" fontId="118" fillId="0" borderId="0" xfId="0" applyFont="1" applyFill="1" applyAlignment="1">
      <alignment/>
    </xf>
    <xf numFmtId="0" fontId="7" fillId="0" borderId="18" xfId="60" applyFont="1" applyBorder="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06"/>
  <sheetViews>
    <sheetView tabSelected="1" zoomScale="90" zoomScaleNormal="90" zoomScaleSheetLayoutView="90" workbookViewId="0" topLeftCell="A1">
      <pane xSplit="2" ySplit="1" topLeftCell="N2" activePane="bottomRight" state="frozen"/>
      <selection pane="topLeft" activeCell="A1" sqref="A1"/>
      <selection pane="topRight" activeCell="C1" sqref="C1"/>
      <selection pane="bottomLeft" activeCell="A2" sqref="A2"/>
      <selection pane="bottomRight" activeCell="N191" sqref="N191"/>
    </sheetView>
  </sheetViews>
  <sheetFormatPr defaultColWidth="9.140625" defaultRowHeight="12.75"/>
  <cols>
    <col min="1" max="1" width="108.140625" style="115" customWidth="1"/>
    <col min="2" max="2" width="7.57421875" style="115" customWidth="1"/>
    <col min="3" max="3" width="14.8515625" style="115" customWidth="1"/>
    <col min="4" max="4" width="18.00390625" style="115" customWidth="1"/>
    <col min="5" max="5" width="18.421875" style="115" customWidth="1"/>
    <col min="6" max="6" width="29.57421875" style="115" customWidth="1"/>
    <col min="7" max="7" width="14.57421875" style="115" hidden="1" customWidth="1"/>
    <col min="8" max="8" width="14.8515625" style="115" hidden="1" customWidth="1"/>
    <col min="9" max="9" width="16.57421875" style="115" hidden="1" customWidth="1"/>
    <col min="10" max="10" width="23.57421875" style="115" hidden="1" customWidth="1"/>
    <col min="11" max="11" width="18.00390625" style="115" hidden="1" customWidth="1"/>
    <col min="12" max="12" width="15.8515625" style="315" hidden="1" customWidth="1"/>
    <col min="13" max="13" width="22.8515625" style="301" hidden="1" customWidth="1"/>
    <col min="14" max="15" width="22.8515625" style="301" customWidth="1"/>
    <col min="16" max="18" width="22.8515625" style="115" customWidth="1"/>
    <col min="19" max="16384" width="9.140625" style="115" customWidth="1"/>
  </cols>
  <sheetData>
    <row r="1" spans="1:16" ht="18">
      <c r="A1" s="970" t="s">
        <v>1083</v>
      </c>
      <c r="B1" s="970"/>
      <c r="C1" s="970"/>
      <c r="D1" s="970"/>
      <c r="E1" s="970"/>
      <c r="F1" s="176"/>
      <c r="G1" s="176"/>
      <c r="H1" s="176"/>
      <c r="I1" s="176"/>
      <c r="J1" s="176"/>
      <c r="K1" s="214"/>
      <c r="L1" s="307"/>
      <c r="M1" s="296"/>
      <c r="N1" s="296"/>
      <c r="O1" s="296"/>
      <c r="P1" s="729"/>
    </row>
    <row r="2" spans="1:10" ht="36" customHeight="1">
      <c r="A2" s="178" t="s">
        <v>959</v>
      </c>
      <c r="B2" s="177"/>
      <c r="C2" s="178"/>
      <c r="D2" s="176"/>
      <c r="E2" s="176"/>
      <c r="F2" s="176"/>
      <c r="G2" s="176"/>
      <c r="J2" s="176"/>
    </row>
    <row r="3" spans="1:18" ht="15">
      <c r="A3" s="55" t="s">
        <v>1524</v>
      </c>
      <c r="B3" s="179"/>
      <c r="D3" s="176"/>
      <c r="E3" s="176"/>
      <c r="F3" s="180"/>
      <c r="G3" s="181"/>
      <c r="H3" s="181" t="s">
        <v>834</v>
      </c>
      <c r="I3" s="181"/>
      <c r="J3" s="968" t="s">
        <v>1276</v>
      </c>
      <c r="K3" s="969"/>
      <c r="L3" s="969"/>
      <c r="M3" s="969"/>
      <c r="N3" s="969"/>
      <c r="O3" s="969"/>
      <c r="P3" s="969"/>
      <c r="Q3" s="652"/>
      <c r="R3" s="713"/>
    </row>
    <row r="4" spans="1:18" s="55" customFormat="1" ht="43.5" customHeight="1">
      <c r="A4" s="694" t="s">
        <v>311</v>
      </c>
      <c r="B4" s="179"/>
      <c r="C4" s="178"/>
      <c r="D4" s="176"/>
      <c r="E4" s="178"/>
      <c r="F4" s="180"/>
      <c r="G4" s="183" t="s">
        <v>540</v>
      </c>
      <c r="H4" s="183" t="s">
        <v>946</v>
      </c>
      <c r="I4" s="184" t="s">
        <v>947</v>
      </c>
      <c r="J4" s="216" t="s">
        <v>947</v>
      </c>
      <c r="K4" s="247" t="s">
        <v>966</v>
      </c>
      <c r="L4" s="308" t="s">
        <v>1032</v>
      </c>
      <c r="M4" s="654" t="s">
        <v>1064</v>
      </c>
      <c r="N4" s="654" t="s">
        <v>1270</v>
      </c>
      <c r="O4" s="654"/>
      <c r="P4" s="655"/>
      <c r="Q4" s="656"/>
      <c r="R4" s="656"/>
    </row>
    <row r="5" spans="1:18" ht="28.5">
      <c r="A5" s="695"/>
      <c r="B5" s="185"/>
      <c r="C5" s="176"/>
      <c r="D5" s="176"/>
      <c r="E5" s="176"/>
      <c r="F5" s="186"/>
      <c r="G5" s="187">
        <v>0.0739</v>
      </c>
      <c r="H5" s="188"/>
      <c r="I5" s="221"/>
      <c r="J5" s="222" t="s">
        <v>955</v>
      </c>
      <c r="K5" s="248">
        <v>0.122</v>
      </c>
      <c r="L5" s="302">
        <v>0.0764</v>
      </c>
      <c r="M5" s="434">
        <v>0.0188</v>
      </c>
      <c r="N5" s="434">
        <v>0.0684</v>
      </c>
      <c r="O5" s="434"/>
      <c r="P5" s="666" t="s">
        <v>958</v>
      </c>
      <c r="Q5" s="653"/>
      <c r="R5" s="653"/>
    </row>
    <row r="6" spans="1:18" ht="42">
      <c r="A6" s="696" t="s">
        <v>311</v>
      </c>
      <c r="B6" s="237" t="s">
        <v>312</v>
      </c>
      <c r="C6" s="966"/>
      <c r="D6" s="966"/>
      <c r="E6" s="966"/>
      <c r="F6" s="967"/>
      <c r="G6" s="190" t="s">
        <v>1030</v>
      </c>
      <c r="H6" s="191" t="s">
        <v>956</v>
      </c>
      <c r="I6" s="191" t="s">
        <v>957</v>
      </c>
      <c r="J6" s="220" t="s">
        <v>938</v>
      </c>
      <c r="K6" s="249" t="s">
        <v>964</v>
      </c>
      <c r="L6" s="309" t="s">
        <v>1031</v>
      </c>
      <c r="M6" s="426" t="s">
        <v>1279</v>
      </c>
      <c r="N6" s="426" t="s">
        <v>1525</v>
      </c>
      <c r="O6" s="426" t="s">
        <v>1526</v>
      </c>
      <c r="P6" s="657"/>
      <c r="Q6" s="658" t="s">
        <v>1527</v>
      </c>
      <c r="R6" s="714" t="s">
        <v>1528</v>
      </c>
    </row>
    <row r="7" spans="1:18" ht="14.25">
      <c r="A7" s="176"/>
      <c r="B7" s="177"/>
      <c r="C7" s="176"/>
      <c r="D7" s="176"/>
      <c r="E7" s="176"/>
      <c r="F7" s="176"/>
      <c r="G7" s="192" t="s">
        <v>835</v>
      </c>
      <c r="H7" s="193" t="s">
        <v>825</v>
      </c>
      <c r="I7" s="193" t="s">
        <v>825</v>
      </c>
      <c r="J7" s="217"/>
      <c r="K7" s="250" t="s">
        <v>921</v>
      </c>
      <c r="L7" s="310" t="s">
        <v>965</v>
      </c>
      <c r="M7" s="297" t="s">
        <v>1033</v>
      </c>
      <c r="N7" s="297" t="s">
        <v>1063</v>
      </c>
      <c r="O7" s="647" t="s">
        <v>1272</v>
      </c>
      <c r="P7" s="356" t="s">
        <v>1272</v>
      </c>
      <c r="Q7" s="667" t="s">
        <v>1277</v>
      </c>
      <c r="R7" s="667" t="s">
        <v>1278</v>
      </c>
    </row>
    <row r="8" spans="1:18" ht="14.25">
      <c r="A8" s="194"/>
      <c r="B8" s="195"/>
      <c r="C8" s="194"/>
      <c r="D8" s="194"/>
      <c r="E8" s="194"/>
      <c r="F8" s="194"/>
      <c r="G8" s="196"/>
      <c r="H8" s="197"/>
      <c r="I8" s="197"/>
      <c r="J8" s="218"/>
      <c r="K8" s="251"/>
      <c r="L8" s="311"/>
      <c r="M8" s="298"/>
      <c r="N8" s="298"/>
      <c r="O8" s="298"/>
      <c r="P8" s="196"/>
      <c r="Q8" s="299"/>
      <c r="R8" s="715"/>
    </row>
    <row r="9" spans="1:18" ht="14.25">
      <c r="A9" s="697"/>
      <c r="B9" s="669"/>
      <c r="C9" s="670"/>
      <c r="D9" s="670"/>
      <c r="E9" s="670"/>
      <c r="F9" s="671"/>
      <c r="G9" s="198">
        <v>0.0403</v>
      </c>
      <c r="H9" s="199">
        <v>0.0403</v>
      </c>
      <c r="I9" s="199">
        <v>0</v>
      </c>
      <c r="J9" s="225">
        <f>(I9-H9)/H9</f>
        <v>-1</v>
      </c>
      <c r="K9" s="252">
        <v>0</v>
      </c>
      <c r="L9" s="312" t="s">
        <v>366</v>
      </c>
      <c r="M9" s="299" t="s">
        <v>366</v>
      </c>
      <c r="N9" s="299" t="s">
        <v>366</v>
      </c>
      <c r="O9" s="715" t="s">
        <v>366</v>
      </c>
      <c r="P9" s="867">
        <v>0.1307</v>
      </c>
      <c r="Q9" s="867">
        <v>0.081</v>
      </c>
      <c r="R9" s="867">
        <v>0.0522</v>
      </c>
    </row>
    <row r="10" spans="1:18" ht="14.25">
      <c r="A10" s="194"/>
      <c r="B10" s="669"/>
      <c r="C10" s="670"/>
      <c r="D10" s="670"/>
      <c r="E10" s="670"/>
      <c r="F10" s="670"/>
      <c r="G10" s="196"/>
      <c r="H10" s="197"/>
      <c r="I10" s="197"/>
      <c r="J10" s="218"/>
      <c r="K10" s="251"/>
      <c r="L10" s="311"/>
      <c r="M10" s="298"/>
      <c r="N10" s="298"/>
      <c r="O10" s="298"/>
      <c r="P10" s="196"/>
      <c r="Q10" s="298"/>
      <c r="R10" s="716"/>
    </row>
    <row r="11" spans="1:18" ht="14.25">
      <c r="A11" s="668" t="s">
        <v>314</v>
      </c>
      <c r="B11" s="672"/>
      <c r="C11" s="668"/>
      <c r="D11" s="668"/>
      <c r="E11" s="673"/>
      <c r="F11" s="668"/>
      <c r="G11" s="418"/>
      <c r="H11" s="251"/>
      <c r="I11" s="251"/>
      <c r="J11" s="419"/>
      <c r="K11" s="251"/>
      <c r="L11" s="311"/>
      <c r="M11" s="298"/>
      <c r="N11" s="298"/>
      <c r="O11" s="298"/>
      <c r="P11" s="418"/>
      <c r="Q11" s="298"/>
      <c r="R11" s="716"/>
    </row>
    <row r="12" spans="1:18" ht="14.25">
      <c r="A12" s="420" t="s">
        <v>315</v>
      </c>
      <c r="B12" s="421"/>
      <c r="C12" s="674"/>
      <c r="D12" s="422"/>
      <c r="E12" s="422"/>
      <c r="F12" s="422"/>
      <c r="G12" s="418"/>
      <c r="H12" s="251"/>
      <c r="I12" s="251"/>
      <c r="J12" s="419"/>
      <c r="K12" s="251"/>
      <c r="L12" s="311"/>
      <c r="M12" s="298"/>
      <c r="N12" s="298"/>
      <c r="O12" s="298"/>
      <c r="P12" s="418"/>
      <c r="Q12" s="298"/>
      <c r="R12" s="716"/>
    </row>
    <row r="13" spans="1:18" ht="14.25">
      <c r="A13" s="420" t="s">
        <v>420</v>
      </c>
      <c r="B13" s="421"/>
      <c r="C13" s="674"/>
      <c r="D13" s="422"/>
      <c r="E13" s="422"/>
      <c r="F13" s="422"/>
      <c r="G13" s="418"/>
      <c r="H13" s="251"/>
      <c r="I13" s="251"/>
      <c r="J13" s="419"/>
      <c r="K13" s="251"/>
      <c r="L13" s="311"/>
      <c r="M13" s="298"/>
      <c r="N13" s="298"/>
      <c r="O13" s="298"/>
      <c r="P13" s="418"/>
      <c r="Q13" s="298"/>
      <c r="R13" s="716"/>
    </row>
    <row r="14" spans="1:18" ht="14.25">
      <c r="A14" s="420"/>
      <c r="B14" s="944" t="s">
        <v>316</v>
      </c>
      <c r="C14" s="674"/>
      <c r="D14" s="422"/>
      <c r="E14" s="422"/>
      <c r="F14" s="422"/>
      <c r="G14" s="418"/>
      <c r="H14" s="251"/>
      <c r="I14" s="251"/>
      <c r="J14" s="419"/>
      <c r="K14" s="251"/>
      <c r="L14" s="311"/>
      <c r="M14" s="298"/>
      <c r="N14" s="298"/>
      <c r="O14" s="298"/>
      <c r="P14" s="418"/>
      <c r="Q14" s="417"/>
      <c r="R14" s="717"/>
    </row>
    <row r="15" spans="1:18" ht="14.25">
      <c r="A15" s="410" t="s">
        <v>1510</v>
      </c>
      <c r="B15" s="424"/>
      <c r="C15" s="410" t="s">
        <v>739</v>
      </c>
      <c r="D15" s="410"/>
      <c r="E15" s="410"/>
      <c r="F15" s="410"/>
      <c r="G15" s="945">
        <v>1.2852</v>
      </c>
      <c r="H15" s="235">
        <v>1.2852</v>
      </c>
      <c r="I15" s="235">
        <v>1.2852</v>
      </c>
      <c r="J15" s="946">
        <f>(I15-H15)/I15</f>
        <v>0</v>
      </c>
      <c r="K15" s="235">
        <v>1.442</v>
      </c>
      <c r="L15" s="316">
        <f>K15*1.0764</f>
        <v>1.5521688</v>
      </c>
      <c r="M15" s="324">
        <f>(L15*$M$5)+L15</f>
        <v>1.58134957344</v>
      </c>
      <c r="N15" s="324">
        <v>1.55</v>
      </c>
      <c r="O15" s="324">
        <v>1.752585</v>
      </c>
      <c r="P15" s="937">
        <f>$P$9</f>
        <v>0.1307</v>
      </c>
      <c r="Q15" s="324">
        <f>(O15*$Q$9)+O15</f>
        <v>1.894544385</v>
      </c>
      <c r="R15" s="650">
        <f>(Q15*$R$9)+Q15</f>
        <v>1.9934396018970002</v>
      </c>
    </row>
    <row r="16" spans="1:18" ht="14.25">
      <c r="A16" s="410" t="s">
        <v>1508</v>
      </c>
      <c r="B16" s="675"/>
      <c r="C16" s="410" t="s">
        <v>836</v>
      </c>
      <c r="D16" s="676"/>
      <c r="E16" s="676"/>
      <c r="F16" s="676"/>
      <c r="G16" s="206">
        <v>1.4249</v>
      </c>
      <c r="H16" s="252">
        <v>1.5423</v>
      </c>
      <c r="I16" s="252">
        <v>1.4249</v>
      </c>
      <c r="J16" s="411">
        <f>(I16-H16)/I16</f>
        <v>-0.08239174678924834</v>
      </c>
      <c r="K16" s="235">
        <v>1.4249</v>
      </c>
      <c r="L16" s="316">
        <f>K16*1.0764</f>
        <v>1.53376236</v>
      </c>
      <c r="M16" s="324">
        <f>(L16*$M$5)+L16</f>
        <v>1.5625970923680002</v>
      </c>
      <c r="N16" s="324">
        <v>1.6694787334859713</v>
      </c>
      <c r="O16" s="324">
        <f>(N16*P16)+N16</f>
        <v>1.8876796039525878</v>
      </c>
      <c r="P16" s="937">
        <f>$P$9</f>
        <v>0.1307</v>
      </c>
      <c r="Q16" s="324">
        <f>(O16*$Q$9)+O16</f>
        <v>2.0405816518727473</v>
      </c>
      <c r="R16" s="650">
        <f>(Q16*$R$9)+Q16</f>
        <v>2.1471000141005048</v>
      </c>
    </row>
    <row r="17" spans="1:18" ht="12.75" customHeight="1">
      <c r="A17" s="410" t="s">
        <v>1509</v>
      </c>
      <c r="B17" s="675"/>
      <c r="C17" s="410" t="s">
        <v>837</v>
      </c>
      <c r="D17" s="676"/>
      <c r="E17" s="676"/>
      <c r="F17" s="676"/>
      <c r="G17" s="206">
        <v>1.4823</v>
      </c>
      <c r="H17" s="252">
        <v>1.7993</v>
      </c>
      <c r="I17" s="252">
        <v>1.4823</v>
      </c>
      <c r="J17" s="411">
        <f>(I17-H17)/I17</f>
        <v>-0.21385684409363823</v>
      </c>
      <c r="K17" s="235">
        <v>1.4823</v>
      </c>
      <c r="L17" s="316">
        <f>K17*1.0764</f>
        <v>1.59554772</v>
      </c>
      <c r="M17" s="324">
        <f>(L17*$M$5)+L17</f>
        <v>1.6255440171359998</v>
      </c>
      <c r="N17" s="324">
        <v>1.7367312279081022</v>
      </c>
      <c r="O17" s="324">
        <f>(N17*P17)+N17</f>
        <v>1.9637219993956911</v>
      </c>
      <c r="P17" s="937">
        <f>$P$9</f>
        <v>0.1307</v>
      </c>
      <c r="Q17" s="324">
        <f>(O17*$Q$9)+O17</f>
        <v>2.122783481346742</v>
      </c>
      <c r="R17" s="650">
        <f>(Q17*$R$9)+Q17</f>
        <v>2.233592779073042</v>
      </c>
    </row>
    <row r="18" spans="1:18" ht="24" customHeight="1">
      <c r="A18" s="676" t="s">
        <v>24</v>
      </c>
      <c r="B18" s="675"/>
      <c r="C18" s="676"/>
      <c r="D18" s="676"/>
      <c r="E18" s="676"/>
      <c r="F18" s="676"/>
      <c r="G18" s="418"/>
      <c r="H18" s="251"/>
      <c r="I18" s="251"/>
      <c r="J18" s="411"/>
      <c r="K18" s="251"/>
      <c r="L18" s="313"/>
      <c r="M18" s="324"/>
      <c r="N18" s="324"/>
      <c r="O18" s="324"/>
      <c r="P18" s="848"/>
      <c r="Q18" s="324"/>
      <c r="R18" s="650"/>
    </row>
    <row r="19" spans="1:18" ht="14.25">
      <c r="A19" s="532"/>
      <c r="B19" s="675"/>
      <c r="C19" s="676"/>
      <c r="D19" s="676"/>
      <c r="E19" s="676"/>
      <c r="F19" s="676"/>
      <c r="G19" s="418"/>
      <c r="H19" s="251"/>
      <c r="I19" s="251"/>
      <c r="J19" s="411"/>
      <c r="K19" s="251"/>
      <c r="L19" s="313"/>
      <c r="M19" s="324"/>
      <c r="N19" s="324"/>
      <c r="O19" s="324"/>
      <c r="P19" s="848"/>
      <c r="Q19" s="324"/>
      <c r="R19" s="650"/>
    </row>
    <row r="20" spans="1:18" ht="24" customHeight="1">
      <c r="A20" s="420" t="s">
        <v>421</v>
      </c>
      <c r="B20" s="675"/>
      <c r="C20" s="674"/>
      <c r="D20" s="676"/>
      <c r="E20" s="676"/>
      <c r="F20" s="676"/>
      <c r="G20" s="418"/>
      <c r="H20" s="251"/>
      <c r="I20" s="251"/>
      <c r="J20" s="411"/>
      <c r="K20" s="251"/>
      <c r="L20" s="313"/>
      <c r="M20" s="324"/>
      <c r="N20" s="324"/>
      <c r="O20" s="324"/>
      <c r="P20" s="848"/>
      <c r="Q20" s="324"/>
      <c r="R20" s="650"/>
    </row>
    <row r="21" spans="1:18" ht="14.25">
      <c r="A21" s="420"/>
      <c r="B21" s="675"/>
      <c r="C21" s="674"/>
      <c r="D21" s="676"/>
      <c r="E21" s="676"/>
      <c r="F21" s="676"/>
      <c r="G21" s="418"/>
      <c r="H21" s="251"/>
      <c r="I21" s="251"/>
      <c r="J21" s="411"/>
      <c r="K21" s="251"/>
      <c r="L21" s="313"/>
      <c r="M21" s="324"/>
      <c r="N21" s="324"/>
      <c r="O21" s="324"/>
      <c r="P21" s="848"/>
      <c r="Q21" s="324"/>
      <c r="R21" s="650"/>
    </row>
    <row r="22" spans="1:18" ht="14.25">
      <c r="A22" s="410" t="s">
        <v>952</v>
      </c>
      <c r="B22" s="675"/>
      <c r="C22" s="410" t="s">
        <v>739</v>
      </c>
      <c r="D22" s="676"/>
      <c r="E22" s="676"/>
      <c r="F22" s="676"/>
      <c r="G22" s="206">
        <v>1.3212</v>
      </c>
      <c r="H22" s="252">
        <v>1.8435</v>
      </c>
      <c r="I22" s="252">
        <v>1.3212</v>
      </c>
      <c r="J22" s="411">
        <f>(I22-H22)/I22</f>
        <v>-0.39532243415077206</v>
      </c>
      <c r="K22" s="235">
        <v>1.3212</v>
      </c>
      <c r="L22" s="300">
        <f>K22*1.0764</f>
        <v>1.42213968</v>
      </c>
      <c r="M22" s="324">
        <f>(L22*$M$5)+L22</f>
        <v>1.448875905984</v>
      </c>
      <c r="N22" s="324">
        <v>1.5479790179533055</v>
      </c>
      <c r="O22" s="324">
        <f>(N22*P22)+N22</f>
        <v>1.7502998755998025</v>
      </c>
      <c r="P22" s="412">
        <f>$P$9</f>
        <v>0.1307</v>
      </c>
      <c r="Q22" s="324">
        <f>(O22*$Q$9)+O22</f>
        <v>1.8920741655233866</v>
      </c>
      <c r="R22" s="650">
        <f>(Q22*$R$9)+Q22</f>
        <v>1.9908404369637074</v>
      </c>
    </row>
    <row r="23" spans="1:18" ht="14.25">
      <c r="A23" s="410" t="s">
        <v>953</v>
      </c>
      <c r="B23" s="675"/>
      <c r="C23" s="410" t="s">
        <v>836</v>
      </c>
      <c r="D23" s="676"/>
      <c r="E23" s="676"/>
      <c r="F23" s="676"/>
      <c r="G23" s="206">
        <v>1.4648</v>
      </c>
      <c r="H23" s="252">
        <v>2.2121</v>
      </c>
      <c r="I23" s="252">
        <v>1.4648</v>
      </c>
      <c r="J23" s="411">
        <f>(I23-H23)/I23</f>
        <v>-0.5101720371381757</v>
      </c>
      <c r="K23" s="235">
        <v>1.4648</v>
      </c>
      <c r="L23" s="300">
        <f>K23*1.0764</f>
        <v>1.5767107200000001</v>
      </c>
      <c r="M23" s="324">
        <f>(L23*$M$5)+L23</f>
        <v>1.6063528815360002</v>
      </c>
      <c r="N23" s="324">
        <v>1.7162274186330626</v>
      </c>
      <c r="O23" s="324">
        <f>(N23*P23)+N23</f>
        <v>1.940538342248404</v>
      </c>
      <c r="P23" s="412">
        <f>$P$9</f>
        <v>0.1307</v>
      </c>
      <c r="Q23" s="324">
        <f>(O23*$Q$9)+O23</f>
        <v>2.0977219479705247</v>
      </c>
      <c r="R23" s="650">
        <f>(Q23*$R$9)+Q23</f>
        <v>2.207223033654586</v>
      </c>
    </row>
    <row r="24" spans="1:18" ht="14.25">
      <c r="A24" s="410" t="s">
        <v>954</v>
      </c>
      <c r="B24" s="675"/>
      <c r="C24" s="410" t="s">
        <v>837</v>
      </c>
      <c r="D24" s="676"/>
      <c r="E24" s="676"/>
      <c r="F24" s="676"/>
      <c r="G24" s="206">
        <v>1.5239</v>
      </c>
      <c r="H24" s="252">
        <v>2.5808</v>
      </c>
      <c r="I24" s="252">
        <v>1.5239</v>
      </c>
      <c r="J24" s="411">
        <f>(I24-H24)/I24</f>
        <v>-0.6935494455016733</v>
      </c>
      <c r="K24" s="235">
        <v>1.5239</v>
      </c>
      <c r="L24" s="300">
        <f>K24*1.0764</f>
        <v>1.64032596</v>
      </c>
      <c r="M24" s="324">
        <f>(L24*$M$5)+L24</f>
        <v>1.6711640880479999</v>
      </c>
      <c r="N24" s="324">
        <v>1.785471711670483</v>
      </c>
      <c r="O24" s="324">
        <f>(N24*P24)+N24</f>
        <v>2.018832864385815</v>
      </c>
      <c r="P24" s="412">
        <f>$P$9</f>
        <v>0.1307</v>
      </c>
      <c r="Q24" s="324">
        <f>(O24*$Q$9)+O24</f>
        <v>2.182358326401066</v>
      </c>
      <c r="R24" s="650">
        <f>(Q24*$R$9)+Q24</f>
        <v>2.2962774310392016</v>
      </c>
    </row>
    <row r="25" spans="1:18" ht="38.25" customHeight="1">
      <c r="A25" s="676" t="s">
        <v>24</v>
      </c>
      <c r="B25" s="675"/>
      <c r="C25" s="676"/>
      <c r="D25" s="676"/>
      <c r="E25" s="676"/>
      <c r="F25" s="676"/>
      <c r="G25" s="418"/>
      <c r="H25" s="251"/>
      <c r="I25" s="251"/>
      <c r="J25" s="411"/>
      <c r="K25" s="251"/>
      <c r="L25" s="313"/>
      <c r="M25" s="324"/>
      <c r="N25" s="324"/>
      <c r="O25" s="324"/>
      <c r="P25" s="412"/>
      <c r="Q25" s="324"/>
      <c r="R25" s="650"/>
    </row>
    <row r="26" spans="1:18" ht="38.25" customHeight="1">
      <c r="A26" s="551" t="s">
        <v>1210</v>
      </c>
      <c r="B26" s="675"/>
      <c r="C26" s="676"/>
      <c r="D26" s="676"/>
      <c r="E26" s="676"/>
      <c r="F26" s="676"/>
      <c r="G26" s="418"/>
      <c r="H26" s="251"/>
      <c r="I26" s="251"/>
      <c r="J26" s="411"/>
      <c r="K26" s="251"/>
      <c r="L26" s="313"/>
      <c r="M26" s="324"/>
      <c r="N26" s="324"/>
      <c r="O26" s="324"/>
      <c r="P26" s="412"/>
      <c r="Q26" s="324"/>
      <c r="R26" s="650"/>
    </row>
    <row r="27" spans="1:18" ht="16.5" customHeight="1">
      <c r="A27" s="551" t="s">
        <v>1209</v>
      </c>
      <c r="B27" s="675"/>
      <c r="C27" s="676"/>
      <c r="D27" s="676"/>
      <c r="E27" s="676"/>
      <c r="F27" s="676"/>
      <c r="G27" s="418"/>
      <c r="H27" s="251"/>
      <c r="I27" s="251"/>
      <c r="J27" s="411"/>
      <c r="K27" s="251"/>
      <c r="L27" s="313"/>
      <c r="M27" s="324"/>
      <c r="N27" s="324"/>
      <c r="O27" s="324"/>
      <c r="P27" s="412"/>
      <c r="Q27" s="324"/>
      <c r="R27" s="650"/>
    </row>
    <row r="28" spans="1:18" ht="16.5" customHeight="1">
      <c r="A28" s="551" t="s">
        <v>1215</v>
      </c>
      <c r="B28" s="675"/>
      <c r="C28" s="676"/>
      <c r="D28" s="676"/>
      <c r="E28" s="676"/>
      <c r="F28" s="676"/>
      <c r="G28" s="418"/>
      <c r="H28" s="251"/>
      <c r="I28" s="251"/>
      <c r="J28" s="411"/>
      <c r="K28" s="251"/>
      <c r="L28" s="313"/>
      <c r="M28" s="324"/>
      <c r="N28" s="324"/>
      <c r="O28" s="324"/>
      <c r="P28" s="412"/>
      <c r="Q28" s="324"/>
      <c r="R28" s="650"/>
    </row>
    <row r="29" spans="1:18" ht="16.5" customHeight="1">
      <c r="A29" s="551" t="s">
        <v>1216</v>
      </c>
      <c r="B29" s="675"/>
      <c r="C29" s="676"/>
      <c r="D29" s="676"/>
      <c r="E29" s="676"/>
      <c r="F29" s="676"/>
      <c r="G29" s="418"/>
      <c r="H29" s="251"/>
      <c r="I29" s="251"/>
      <c r="J29" s="411"/>
      <c r="K29" s="251"/>
      <c r="L29" s="313"/>
      <c r="M29" s="324"/>
      <c r="N29" s="324"/>
      <c r="O29" s="324"/>
      <c r="P29" s="412"/>
      <c r="Q29" s="324"/>
      <c r="R29" s="650"/>
    </row>
    <row r="30" spans="1:18" ht="27.75" customHeight="1">
      <c r="A30" s="551" t="s">
        <v>1217</v>
      </c>
      <c r="B30" s="675"/>
      <c r="C30" s="676"/>
      <c r="D30" s="676"/>
      <c r="E30" s="676"/>
      <c r="F30" s="676"/>
      <c r="G30" s="418"/>
      <c r="H30" s="251"/>
      <c r="I30" s="251"/>
      <c r="J30" s="411"/>
      <c r="K30" s="251"/>
      <c r="L30" s="313"/>
      <c r="M30" s="324"/>
      <c r="N30" s="324"/>
      <c r="O30" s="324"/>
      <c r="P30" s="412"/>
      <c r="Q30" s="324"/>
      <c r="R30" s="650"/>
    </row>
    <row r="31" spans="1:18" ht="16.5" customHeight="1">
      <c r="A31" s="677"/>
      <c r="B31" s="675"/>
      <c r="C31" s="676"/>
      <c r="D31" s="676"/>
      <c r="E31" s="676"/>
      <c r="F31" s="676"/>
      <c r="G31" s="418"/>
      <c r="H31" s="251"/>
      <c r="I31" s="251"/>
      <c r="J31" s="411"/>
      <c r="K31" s="251"/>
      <c r="L31" s="313"/>
      <c r="M31" s="324"/>
      <c r="N31" s="324"/>
      <c r="O31" s="324"/>
      <c r="P31" s="412"/>
      <c r="Q31" s="324"/>
      <c r="R31" s="650"/>
    </row>
    <row r="32" spans="1:18" ht="38.25" customHeight="1">
      <c r="A32" s="420" t="s">
        <v>1085</v>
      </c>
      <c r="B32" s="423"/>
      <c r="C32" s="422"/>
      <c r="D32" s="422"/>
      <c r="E32" s="422"/>
      <c r="F32" s="427" t="s">
        <v>948</v>
      </c>
      <c r="G32" s="418"/>
      <c r="H32" s="251"/>
      <c r="I32" s="251"/>
      <c r="J32" s="411"/>
      <c r="K32" s="251"/>
      <c r="L32" s="313"/>
      <c r="M32" s="324"/>
      <c r="N32" s="324"/>
      <c r="O32" s="324"/>
      <c r="P32" s="412"/>
      <c r="Q32" s="425"/>
      <c r="R32" s="718"/>
    </row>
    <row r="33" spans="1:18" ht="14.25">
      <c r="A33" s="410" t="s">
        <v>1221</v>
      </c>
      <c r="B33" s="424"/>
      <c r="C33" s="410" t="s">
        <v>1084</v>
      </c>
      <c r="D33" s="410"/>
      <c r="E33" s="410" t="s">
        <v>322</v>
      </c>
      <c r="F33" s="942"/>
      <c r="G33" s="206">
        <v>0</v>
      </c>
      <c r="H33" s="252"/>
      <c r="I33" s="252">
        <v>0</v>
      </c>
      <c r="J33" s="411"/>
      <c r="K33" s="235">
        <v>0</v>
      </c>
      <c r="L33" s="300">
        <v>0</v>
      </c>
      <c r="M33" s="324"/>
      <c r="N33" s="324"/>
      <c r="O33" s="324"/>
      <c r="P33" s="943"/>
      <c r="Q33" s="324"/>
      <c r="R33" s="650"/>
    </row>
    <row r="34" spans="1:18" ht="14.25">
      <c r="A34" s="410" t="s">
        <v>1218</v>
      </c>
      <c r="B34" s="424"/>
      <c r="C34" s="410"/>
      <c r="D34" s="410"/>
      <c r="E34" s="410"/>
      <c r="F34" s="942"/>
      <c r="G34" s="206"/>
      <c r="H34" s="252"/>
      <c r="I34" s="252"/>
      <c r="J34" s="411"/>
      <c r="K34" s="235"/>
      <c r="L34" s="300"/>
      <c r="M34" s="324"/>
      <c r="N34" s="324"/>
      <c r="O34" s="324"/>
      <c r="P34" s="943"/>
      <c r="Q34" s="324"/>
      <c r="R34" s="650"/>
    </row>
    <row r="35" spans="1:18" ht="14.25">
      <c r="A35" s="410" t="s">
        <v>742</v>
      </c>
      <c r="B35" s="675" t="s">
        <v>317</v>
      </c>
      <c r="C35" s="410" t="s">
        <v>741</v>
      </c>
      <c r="D35" s="676"/>
      <c r="E35" s="676"/>
      <c r="F35" s="678"/>
      <c r="G35" s="206">
        <v>0.959</v>
      </c>
      <c r="H35" s="252">
        <v>0.9938</v>
      </c>
      <c r="I35" s="252">
        <v>0.9421</v>
      </c>
      <c r="J35" s="411">
        <f>(I35-H35)/I35</f>
        <v>-0.05487740154972929</v>
      </c>
      <c r="K35" s="235">
        <v>0.9421</v>
      </c>
      <c r="L35" s="300">
        <f>K35*1.0764</f>
        <v>1.01407644</v>
      </c>
      <c r="M35" s="324">
        <f>(L35*$M$5)+L35</f>
        <v>1.033141077072</v>
      </c>
      <c r="N35" s="324">
        <v>1.1038079267437249</v>
      </c>
      <c r="O35" s="324">
        <f>(N35*P35)+N35</f>
        <v>1.2480756227691296</v>
      </c>
      <c r="P35" s="412">
        <f>$P$9</f>
        <v>0.1307</v>
      </c>
      <c r="Q35" s="324">
        <f>(O35*$Q$9)+O35</f>
        <v>1.349169748213429</v>
      </c>
      <c r="R35" s="650">
        <f>(Q35*$R$9)+Q35</f>
        <v>1.41959640907017</v>
      </c>
    </row>
    <row r="36" spans="1:18" ht="14.25">
      <c r="A36" s="410" t="s">
        <v>743</v>
      </c>
      <c r="B36" s="424"/>
      <c r="C36" s="410" t="s">
        <v>949</v>
      </c>
      <c r="D36" s="676"/>
      <c r="E36" s="676"/>
      <c r="F36" s="678"/>
      <c r="G36" s="206">
        <v>1.043</v>
      </c>
      <c r="H36" s="252">
        <v>1.2919</v>
      </c>
      <c r="I36" s="252">
        <v>1.043</v>
      </c>
      <c r="J36" s="411">
        <f>(I36-H36)/I36</f>
        <v>-0.23863854266538845</v>
      </c>
      <c r="K36" s="235">
        <v>1.043</v>
      </c>
      <c r="L36" s="300">
        <f>K36*1.0764</f>
        <v>1.1226852</v>
      </c>
      <c r="M36" s="324">
        <f>(L36*$M$5)+L36</f>
        <v>1.14379168176</v>
      </c>
      <c r="N36" s="324">
        <v>1.2220270327923841</v>
      </c>
      <c r="O36" s="324">
        <f>(N36*P36)+N36</f>
        <v>1.3817459659783486</v>
      </c>
      <c r="P36" s="412">
        <f>$P$9</f>
        <v>0.1307</v>
      </c>
      <c r="Q36" s="324">
        <f>(O36*$Q$9)+O36</f>
        <v>1.493667389222595</v>
      </c>
      <c r="R36" s="650">
        <f>(Q36*$R$9)+Q36</f>
        <v>1.5716368269400143</v>
      </c>
    </row>
    <row r="37" spans="1:18" ht="14.25">
      <c r="A37" s="410" t="s">
        <v>1219</v>
      </c>
      <c r="B37" s="424"/>
      <c r="C37" s="410" t="s">
        <v>950</v>
      </c>
      <c r="D37" s="676"/>
      <c r="E37" s="676"/>
      <c r="F37" s="678"/>
      <c r="G37" s="206">
        <v>1.2565</v>
      </c>
      <c r="H37" s="252">
        <v>1.3913</v>
      </c>
      <c r="I37" s="252">
        <v>1.2565</v>
      </c>
      <c r="J37" s="411">
        <f>(I37-H37)/I37</f>
        <v>-0.10728213290887388</v>
      </c>
      <c r="K37" s="235">
        <v>1.2565</v>
      </c>
      <c r="L37" s="300">
        <f>K37*1.0764</f>
        <v>1.3524966</v>
      </c>
      <c r="M37" s="324">
        <f>(L37*$M$5)+L37</f>
        <v>1.37792353608</v>
      </c>
      <c r="N37" s="324">
        <v>1.472173505947872</v>
      </c>
      <c r="O37" s="324">
        <f>(N37*P37)+N37</f>
        <v>1.6645865831752589</v>
      </c>
      <c r="P37" s="412">
        <f>$P$9</f>
        <v>0.1307</v>
      </c>
      <c r="Q37" s="324">
        <f>(O37*$Q$9)+O37</f>
        <v>1.7994180964124549</v>
      </c>
      <c r="R37" s="650">
        <f>(Q37*$R$9)+Q37</f>
        <v>1.893347721045185</v>
      </c>
    </row>
    <row r="38" spans="1:18" ht="13.5">
      <c r="A38" s="410" t="s">
        <v>1220</v>
      </c>
      <c r="B38" s="424"/>
      <c r="C38" s="410" t="s">
        <v>951</v>
      </c>
      <c r="D38" s="676"/>
      <c r="E38" s="676"/>
      <c r="F38" s="678"/>
      <c r="G38" s="206">
        <v>1.482</v>
      </c>
      <c r="H38" s="252">
        <v>1.59</v>
      </c>
      <c r="I38" s="252">
        <v>1.482</v>
      </c>
      <c r="J38" s="411">
        <f>(I38-H38)/I38</f>
        <v>-0.07287449392712557</v>
      </c>
      <c r="K38" s="235">
        <v>1.482</v>
      </c>
      <c r="L38" s="300">
        <f>K38*1.0764</f>
        <v>1.5952248</v>
      </c>
      <c r="M38" s="324">
        <f>(L38*$M$5)+L38</f>
        <v>1.62521502624</v>
      </c>
      <c r="N38" s="324">
        <v>1.736379734034816</v>
      </c>
      <c r="O38" s="324">
        <f>(N38*P38)+N38</f>
        <v>1.9633245652731663</v>
      </c>
      <c r="P38" s="412">
        <f>$P$9</f>
        <v>0.1307</v>
      </c>
      <c r="Q38" s="324">
        <f>(O38*$Q$9)+O38</f>
        <v>2.1223538550602927</v>
      </c>
      <c r="R38" s="650">
        <f>(Q38*$R$9)+Q38</f>
        <v>2.23314072629444</v>
      </c>
    </row>
    <row r="39" spans="1:18" ht="13.5">
      <c r="A39" s="676" t="s">
        <v>24</v>
      </c>
      <c r="B39" s="675"/>
      <c r="C39" s="676"/>
      <c r="D39" s="676"/>
      <c r="E39" s="676"/>
      <c r="F39" s="676"/>
      <c r="G39" s="418"/>
      <c r="H39" s="251"/>
      <c r="I39" s="251"/>
      <c r="J39" s="411"/>
      <c r="K39" s="251"/>
      <c r="L39" s="313"/>
      <c r="M39" s="324"/>
      <c r="N39" s="324"/>
      <c r="O39" s="324"/>
      <c r="P39" s="412"/>
      <c r="Q39" s="324"/>
      <c r="R39" s="650"/>
    </row>
    <row r="40" spans="1:18" ht="27">
      <c r="A40" s="539" t="s">
        <v>1211</v>
      </c>
      <c r="B40" s="679"/>
      <c r="C40" s="680"/>
      <c r="D40" s="680"/>
      <c r="E40" s="680"/>
      <c r="F40" s="680"/>
      <c r="G40" s="196"/>
      <c r="H40" s="197"/>
      <c r="I40" s="197"/>
      <c r="J40" s="219"/>
      <c r="K40" s="251"/>
      <c r="L40" s="313"/>
      <c r="M40" s="324"/>
      <c r="N40" s="324"/>
      <c r="O40" s="324"/>
      <c r="P40" s="234"/>
      <c r="Q40" s="324"/>
      <c r="R40" s="650"/>
    </row>
    <row r="41" spans="1:18" ht="13.5">
      <c r="A41" s="549" t="s">
        <v>1195</v>
      </c>
      <c r="B41" s="679"/>
      <c r="C41" s="680"/>
      <c r="D41" s="680"/>
      <c r="E41" s="680"/>
      <c r="F41" s="680"/>
      <c r="G41" s="196"/>
      <c r="H41" s="197"/>
      <c r="I41" s="197"/>
      <c r="J41" s="219"/>
      <c r="K41" s="251"/>
      <c r="L41" s="313"/>
      <c r="M41" s="324"/>
      <c r="N41" s="324"/>
      <c r="O41" s="324"/>
      <c r="P41" s="234"/>
      <c r="Q41" s="324"/>
      <c r="R41" s="650"/>
    </row>
    <row r="42" spans="1:18" ht="13.5">
      <c r="A42" s="681"/>
      <c r="B42" s="679"/>
      <c r="C42" s="680"/>
      <c r="D42" s="680"/>
      <c r="E42" s="680"/>
      <c r="F42" s="680"/>
      <c r="G42" s="196"/>
      <c r="H42" s="197"/>
      <c r="I42" s="197"/>
      <c r="J42" s="219"/>
      <c r="K42" s="251"/>
      <c r="L42" s="313"/>
      <c r="M42" s="324"/>
      <c r="N42" s="324"/>
      <c r="O42" s="324"/>
      <c r="P42" s="234"/>
      <c r="Q42" s="324"/>
      <c r="R42" s="650"/>
    </row>
    <row r="43" spans="1:18" ht="13.5">
      <c r="A43" s="200" t="s">
        <v>318</v>
      </c>
      <c r="B43" s="204"/>
      <c r="C43" s="201"/>
      <c r="D43" s="201"/>
      <c r="E43" s="201"/>
      <c r="F43" s="201"/>
      <c r="G43" s="196"/>
      <c r="H43" s="197"/>
      <c r="I43" s="197"/>
      <c r="J43" s="219"/>
      <c r="K43" s="251"/>
      <c r="L43" s="313"/>
      <c r="M43" s="324"/>
      <c r="N43" s="324"/>
      <c r="O43" s="324"/>
      <c r="P43" s="234"/>
      <c r="Q43" s="324"/>
      <c r="R43" s="650"/>
    </row>
    <row r="44" spans="1:18" ht="13.5">
      <c r="A44" s="200"/>
      <c r="B44" s="204"/>
      <c r="C44" s="201"/>
      <c r="D44" s="201"/>
      <c r="E44" s="201"/>
      <c r="F44" s="201"/>
      <c r="G44" s="196"/>
      <c r="H44" s="197"/>
      <c r="I44" s="197"/>
      <c r="J44" s="219"/>
      <c r="K44" s="251"/>
      <c r="L44" s="313"/>
      <c r="M44" s="324"/>
      <c r="N44" s="324"/>
      <c r="O44" s="324"/>
      <c r="P44" s="234"/>
      <c r="Q44" s="324"/>
      <c r="R44" s="650"/>
    </row>
    <row r="45" spans="1:18" ht="13.5">
      <c r="A45" s="680" t="s">
        <v>839</v>
      </c>
      <c r="B45" s="679" t="s">
        <v>319</v>
      </c>
      <c r="C45" s="680"/>
      <c r="D45" s="680"/>
      <c r="E45" s="680"/>
      <c r="F45" s="680"/>
      <c r="G45" s="206">
        <v>1.0228</v>
      </c>
      <c r="H45" s="203">
        <v>1.0228</v>
      </c>
      <c r="I45" s="203">
        <v>1.0048</v>
      </c>
      <c r="J45" s="219">
        <f>(I45-H45)/I45</f>
        <v>-0.01791401273885352</v>
      </c>
      <c r="K45" s="235">
        <v>1.0048</v>
      </c>
      <c r="L45" s="300">
        <f>K45*1.0764</f>
        <v>1.0815667199999999</v>
      </c>
      <c r="M45" s="324">
        <f>(L45*$M$5)+L45</f>
        <v>1.101900174336</v>
      </c>
      <c r="N45" s="324">
        <v>1.1772701462605824</v>
      </c>
      <c r="O45" s="324">
        <f>(N45*P45)+N45</f>
        <v>1.3311393543768404</v>
      </c>
      <c r="P45" s="234">
        <f>$P$9</f>
        <v>0.1307</v>
      </c>
      <c r="Q45" s="324">
        <f>(O45*$Q$9)+O45</f>
        <v>1.4389616420813645</v>
      </c>
      <c r="R45" s="650">
        <f>(Q45*$R$9)+Q45</f>
        <v>1.5140754397980116</v>
      </c>
    </row>
    <row r="46" spans="1:18" ht="13.5">
      <c r="A46" s="680" t="s">
        <v>840</v>
      </c>
      <c r="B46" s="679" t="s">
        <v>320</v>
      </c>
      <c r="C46" s="680"/>
      <c r="D46" s="680"/>
      <c r="E46" s="680"/>
      <c r="F46" s="680"/>
      <c r="G46" s="229">
        <v>3.92</v>
      </c>
      <c r="H46" s="230">
        <v>3.92</v>
      </c>
      <c r="I46" s="230">
        <v>3.92</v>
      </c>
      <c r="J46" s="228">
        <f>(I46-H46)/I46</f>
        <v>0</v>
      </c>
      <c r="K46" s="236">
        <v>4.4</v>
      </c>
      <c r="L46" s="349">
        <f>K46*1.0764</f>
        <v>4.736160000000001</v>
      </c>
      <c r="M46" s="324">
        <f>(L46*$M$5)+L46</f>
        <v>4.825199808000001</v>
      </c>
      <c r="N46" s="324">
        <v>5.155243474867201</v>
      </c>
      <c r="O46" s="324">
        <f>(N46*P46)+N46</f>
        <v>5.829033797032344</v>
      </c>
      <c r="P46" s="234">
        <f>$P$9</f>
        <v>0.1307</v>
      </c>
      <c r="Q46" s="324">
        <f>(O46*$Q$9)+O46</f>
        <v>6.301185534591964</v>
      </c>
      <c r="R46" s="650">
        <f>(Q46*$R$9)+Q46</f>
        <v>6.630107419497664</v>
      </c>
    </row>
    <row r="47" spans="1:18" ht="13.5">
      <c r="A47" s="200" t="s">
        <v>321</v>
      </c>
      <c r="B47" s="204"/>
      <c r="C47" s="201"/>
      <c r="D47" s="201"/>
      <c r="E47" s="201"/>
      <c r="F47" s="201"/>
      <c r="G47" s="196"/>
      <c r="H47" s="197"/>
      <c r="I47" s="197"/>
      <c r="J47" s="219"/>
      <c r="K47" s="251"/>
      <c r="L47" s="313"/>
      <c r="M47" s="324"/>
      <c r="N47" s="324"/>
      <c r="O47" s="324"/>
      <c r="P47" s="234"/>
      <c r="Q47" s="324"/>
      <c r="R47" s="650"/>
    </row>
    <row r="48" spans="1:18" ht="13.5">
      <c r="A48" s="680" t="s">
        <v>841</v>
      </c>
      <c r="B48" s="679"/>
      <c r="C48" s="680"/>
      <c r="D48" s="680"/>
      <c r="E48" s="680"/>
      <c r="F48" s="680"/>
      <c r="G48" s="196"/>
      <c r="H48" s="197"/>
      <c r="I48" s="197"/>
      <c r="J48" s="219"/>
      <c r="K48" s="251"/>
      <c r="L48" s="313"/>
      <c r="M48" s="324"/>
      <c r="N48" s="324"/>
      <c r="O48" s="324"/>
      <c r="P48" s="234"/>
      <c r="Q48" s="324"/>
      <c r="R48" s="650"/>
    </row>
    <row r="49" spans="1:18" ht="13.5">
      <c r="A49" s="680" t="s">
        <v>842</v>
      </c>
      <c r="B49" s="679" t="s">
        <v>422</v>
      </c>
      <c r="C49" s="680"/>
      <c r="D49" s="680"/>
      <c r="E49" s="680"/>
      <c r="F49" s="680"/>
      <c r="G49" s="226">
        <v>2.2886</v>
      </c>
      <c r="H49" s="227">
        <v>2.2886</v>
      </c>
      <c r="I49" s="227">
        <v>2.2886</v>
      </c>
      <c r="J49" s="228">
        <f>(I49-H49)/I49</f>
        <v>0</v>
      </c>
      <c r="K49" s="235">
        <v>2.5678</v>
      </c>
      <c r="L49" s="300">
        <f>K49*1.0764</f>
        <v>2.76397992</v>
      </c>
      <c r="M49" s="324">
        <f>(L49*$M$5)+L49</f>
        <v>2.815942742496</v>
      </c>
      <c r="N49" s="324">
        <v>3.0085532260827264</v>
      </c>
      <c r="O49" s="324">
        <f>(N49*P49)+N49</f>
        <v>3.4017711327317386</v>
      </c>
      <c r="P49" s="234">
        <f>$P$9</f>
        <v>0.1307</v>
      </c>
      <c r="Q49" s="324">
        <f>(O49*$Q$9)+O49</f>
        <v>3.6773145944830095</v>
      </c>
      <c r="R49" s="650">
        <f>(Q49*$R$9)+Q49</f>
        <v>3.8692704163150227</v>
      </c>
    </row>
    <row r="50" spans="1:18" ht="13.5">
      <c r="A50" s="680" t="s">
        <v>843</v>
      </c>
      <c r="B50" s="679" t="s">
        <v>423</v>
      </c>
      <c r="C50" s="680"/>
      <c r="D50" s="680"/>
      <c r="E50" s="680"/>
      <c r="F50" s="680"/>
      <c r="G50" s="226">
        <v>1.0639</v>
      </c>
      <c r="H50" s="227">
        <v>1.0639</v>
      </c>
      <c r="I50" s="227">
        <v>1.0639</v>
      </c>
      <c r="J50" s="228">
        <f>(I50-H50)/I50</f>
        <v>0</v>
      </c>
      <c r="K50" s="235">
        <v>1.1937</v>
      </c>
      <c r="L50" s="300">
        <f>K50*1.0764</f>
        <v>1.28489868</v>
      </c>
      <c r="M50" s="324">
        <f>(L50*$M$5)+L50</f>
        <v>1.309054775184</v>
      </c>
      <c r="N50" s="324">
        <v>1.3985941218065856</v>
      </c>
      <c r="O50" s="324">
        <f>(N50*P50)+N50</f>
        <v>1.5813903735267063</v>
      </c>
      <c r="P50" s="234">
        <f>$P$9</f>
        <v>0.1307</v>
      </c>
      <c r="Q50" s="324">
        <f>(O50*$Q$9)+O50</f>
        <v>1.7094829937823695</v>
      </c>
      <c r="R50" s="650">
        <f>(Q50*$R$9)+Q50</f>
        <v>1.7987180060578092</v>
      </c>
    </row>
    <row r="51" spans="1:18" ht="13.5">
      <c r="A51" s="680" t="s">
        <v>844</v>
      </c>
      <c r="B51" s="679" t="s">
        <v>424</v>
      </c>
      <c r="C51" s="680"/>
      <c r="D51" s="680"/>
      <c r="E51" s="680"/>
      <c r="F51" s="680"/>
      <c r="G51" s="226">
        <v>0.7095</v>
      </c>
      <c r="H51" s="227">
        <v>0.7095</v>
      </c>
      <c r="I51" s="227">
        <v>0.7095</v>
      </c>
      <c r="J51" s="228">
        <f>(I51-H51)/I51</f>
        <v>0</v>
      </c>
      <c r="K51" s="235">
        <v>0.7961</v>
      </c>
      <c r="L51" s="300">
        <f>K51*1.0764</f>
        <v>0.85692204</v>
      </c>
      <c r="M51" s="324">
        <f>(L51*$M$5)+L51</f>
        <v>0.8730321743520001</v>
      </c>
      <c r="N51" s="324">
        <v>0.9327475750776769</v>
      </c>
      <c r="O51" s="324">
        <f>(N51*P51)+N51</f>
        <v>1.0546576831403294</v>
      </c>
      <c r="P51" s="234">
        <f>$P$9</f>
        <v>0.1307</v>
      </c>
      <c r="Q51" s="324">
        <f>(O51*$Q$9)+O51</f>
        <v>1.1400849554746961</v>
      </c>
      <c r="R51" s="650">
        <f>(Q51*$R$9)+Q51</f>
        <v>1.1995973901504753</v>
      </c>
    </row>
    <row r="52" spans="1:18" ht="13.5">
      <c r="A52" s="680" t="s">
        <v>845</v>
      </c>
      <c r="B52" s="679" t="s">
        <v>425</v>
      </c>
      <c r="C52" s="680"/>
      <c r="D52" s="680"/>
      <c r="E52" s="680"/>
      <c r="F52" s="680"/>
      <c r="G52" s="229">
        <v>3.92</v>
      </c>
      <c r="H52" s="230">
        <v>3.9197</v>
      </c>
      <c r="I52" s="230">
        <v>3.92</v>
      </c>
      <c r="J52" s="228">
        <f>(I52-H52)/I52</f>
        <v>7.653061224483289E-05</v>
      </c>
      <c r="K52" s="236">
        <v>4.39</v>
      </c>
      <c r="L52" s="313">
        <f>K52*1.0764</f>
        <v>4.725396</v>
      </c>
      <c r="M52" s="324">
        <f>(L52*$M$5)+L52</f>
        <v>4.8142334448</v>
      </c>
      <c r="N52" s="324">
        <v>5.14352701242432</v>
      </c>
      <c r="O52" s="324">
        <f>(N52*P52)+N52</f>
        <v>5.815785992948179</v>
      </c>
      <c r="P52" s="234">
        <f>$P$9</f>
        <v>0.1307</v>
      </c>
      <c r="Q52" s="324">
        <f>(O52*$Q$9)+O52</f>
        <v>6.286864658376981</v>
      </c>
      <c r="R52" s="650">
        <f>(Q52*$R$9)+Q52</f>
        <v>6.6150389935442595</v>
      </c>
    </row>
    <row r="53" spans="1:18" ht="40.5">
      <c r="A53" s="550" t="s">
        <v>1232</v>
      </c>
      <c r="B53" s="679"/>
      <c r="C53" s="680"/>
      <c r="D53" s="680"/>
      <c r="E53" s="680"/>
      <c r="F53" s="680"/>
      <c r="G53" s="196"/>
      <c r="H53" s="197"/>
      <c r="I53" s="197"/>
      <c r="J53" s="218"/>
      <c r="K53" s="251"/>
      <c r="L53" s="313"/>
      <c r="M53" s="324"/>
      <c r="N53" s="324"/>
      <c r="O53" s="324"/>
      <c r="P53" s="234"/>
      <c r="Q53" s="324"/>
      <c r="R53" s="650"/>
    </row>
    <row r="54" spans="1:18" ht="13.5">
      <c r="A54" s="20"/>
      <c r="B54" s="204"/>
      <c r="C54" s="680"/>
      <c r="D54" s="201"/>
      <c r="E54" s="682"/>
      <c r="F54" s="201"/>
      <c r="G54" s="196"/>
      <c r="H54" s="197"/>
      <c r="I54" s="197"/>
      <c r="J54" s="218"/>
      <c r="K54" s="251"/>
      <c r="L54" s="313"/>
      <c r="M54" s="324"/>
      <c r="N54" s="324"/>
      <c r="O54" s="324"/>
      <c r="P54" s="234"/>
      <c r="Q54" s="324"/>
      <c r="R54" s="650"/>
    </row>
    <row r="55" spans="1:18" ht="13.5">
      <c r="A55" s="680"/>
      <c r="B55" s="204"/>
      <c r="C55" s="680"/>
      <c r="D55" s="201"/>
      <c r="E55" s="682"/>
      <c r="F55" s="201"/>
      <c r="G55" s="196"/>
      <c r="H55" s="197"/>
      <c r="I55" s="197"/>
      <c r="J55" s="218"/>
      <c r="K55" s="251"/>
      <c r="L55" s="313"/>
      <c r="M55" s="324"/>
      <c r="N55" s="324"/>
      <c r="O55" s="324"/>
      <c r="P55" s="234"/>
      <c r="Q55" s="324"/>
      <c r="R55" s="650"/>
    </row>
    <row r="56" spans="1:18" ht="13.5">
      <c r="A56" s="683" t="s">
        <v>323</v>
      </c>
      <c r="B56" s="684"/>
      <c r="C56" s="683"/>
      <c r="D56" s="182"/>
      <c r="E56" s="685"/>
      <c r="F56" s="683"/>
      <c r="G56" s="196"/>
      <c r="H56" s="197"/>
      <c r="I56" s="197"/>
      <c r="J56" s="218"/>
      <c r="K56" s="251"/>
      <c r="L56" s="313"/>
      <c r="M56" s="324"/>
      <c r="N56" s="324"/>
      <c r="O56" s="324"/>
      <c r="P56" s="234"/>
      <c r="Q56" s="324"/>
      <c r="R56" s="650"/>
    </row>
    <row r="57" spans="1:18" ht="13.5">
      <c r="A57" s="200" t="s">
        <v>324</v>
      </c>
      <c r="B57" s="204"/>
      <c r="C57" s="683"/>
      <c r="D57" s="683"/>
      <c r="E57" s="685"/>
      <c r="F57" s="683"/>
      <c r="G57" s="196"/>
      <c r="H57" s="197"/>
      <c r="I57" s="197"/>
      <c r="J57" s="218"/>
      <c r="K57" s="251"/>
      <c r="L57" s="313"/>
      <c r="M57" s="324"/>
      <c r="N57" s="324"/>
      <c r="O57" s="324"/>
      <c r="P57" s="234"/>
      <c r="Q57" s="324"/>
      <c r="R57" s="650"/>
    </row>
    <row r="58" spans="1:18" ht="14.25" customHeight="1">
      <c r="A58" s="200"/>
      <c r="B58" s="204"/>
      <c r="C58" s="683"/>
      <c r="D58" s="683"/>
      <c r="E58" s="685"/>
      <c r="F58" s="683"/>
      <c r="G58" s="196"/>
      <c r="H58" s="197"/>
      <c r="I58" s="197"/>
      <c r="J58" s="218"/>
      <c r="K58" s="251"/>
      <c r="L58" s="313"/>
      <c r="M58" s="324"/>
      <c r="N58" s="324"/>
      <c r="O58" s="324"/>
      <c r="P58" s="234"/>
      <c r="Q58" s="417"/>
      <c r="R58" s="717"/>
    </row>
    <row r="59" spans="1:18" ht="13.5">
      <c r="A59" s="182" t="s">
        <v>846</v>
      </c>
      <c r="B59" s="205" t="s">
        <v>541</v>
      </c>
      <c r="C59" s="182"/>
      <c r="D59" s="182"/>
      <c r="E59" s="182"/>
      <c r="F59" s="182"/>
      <c r="G59" s="879">
        <v>0.7787</v>
      </c>
      <c r="H59" s="880">
        <v>0.8061</v>
      </c>
      <c r="I59" s="880">
        <v>0.7787</v>
      </c>
      <c r="J59" s="228">
        <f>(I59-H59)/I59</f>
        <v>-0.03518684987800192</v>
      </c>
      <c r="K59" s="235">
        <v>0.7787</v>
      </c>
      <c r="L59" s="300">
        <f>K59*1.0764</f>
        <v>0.8381926799999999</v>
      </c>
      <c r="M59" s="324">
        <f>(L59*$M$5)+L59</f>
        <v>0.853950702384</v>
      </c>
      <c r="N59" s="324">
        <v>0.9123609304270656</v>
      </c>
      <c r="O59" s="324">
        <f>(N59*P59)+N59</f>
        <v>1.031606504033883</v>
      </c>
      <c r="P59" s="938">
        <f>$P$9</f>
        <v>0.1307</v>
      </c>
      <c r="Q59" s="324">
        <f>(O59*$Q$9)+O59</f>
        <v>1.1151666308606276</v>
      </c>
      <c r="R59" s="650">
        <f>(Q59*$R$9)+Q59</f>
        <v>1.1733783289915525</v>
      </c>
    </row>
    <row r="60" spans="1:18" ht="14.25" customHeight="1">
      <c r="A60" s="680" t="s">
        <v>847</v>
      </c>
      <c r="B60" s="679" t="s">
        <v>426</v>
      </c>
      <c r="C60" s="680"/>
      <c r="D60" s="680"/>
      <c r="E60" s="680"/>
      <c r="F60" s="680"/>
      <c r="G60" s="207">
        <v>435.92</v>
      </c>
      <c r="H60" s="230">
        <v>435.92</v>
      </c>
      <c r="I60" s="230">
        <v>435.92</v>
      </c>
      <c r="J60" s="228">
        <f>(I60-H60)/I60</f>
        <v>0</v>
      </c>
      <c r="K60" s="236">
        <v>489.1</v>
      </c>
      <c r="L60" s="313">
        <f>K60*1.0764</f>
        <v>526.4672400000001</v>
      </c>
      <c r="M60" s="324">
        <f>(L60*$M$5)+L60</f>
        <v>536.3648241120001</v>
      </c>
      <c r="N60" s="324">
        <v>573.0521780812609</v>
      </c>
      <c r="O60" s="324">
        <f>(N60*P60)+N60</f>
        <v>647.9500977564817</v>
      </c>
      <c r="P60" s="234">
        <f>$P$9</f>
        <v>0.1307</v>
      </c>
      <c r="Q60" s="324">
        <f>(O60*$Q$9)+O60</f>
        <v>700.4340556747567</v>
      </c>
      <c r="R60" s="650">
        <f>(Q60*$R$9)+Q60</f>
        <v>736.996713380979</v>
      </c>
    </row>
    <row r="61" spans="1:18" ht="45.75" customHeight="1">
      <c r="A61" s="680" t="s">
        <v>848</v>
      </c>
      <c r="B61" s="679" t="s">
        <v>427</v>
      </c>
      <c r="C61" s="680"/>
      <c r="D61" s="680"/>
      <c r="E61" s="680"/>
      <c r="F61" s="680"/>
      <c r="G61" s="208">
        <v>80.61</v>
      </c>
      <c r="H61" s="209">
        <v>77.87</v>
      </c>
      <c r="I61" s="209">
        <v>80.61</v>
      </c>
      <c r="J61" s="219">
        <f>(I61-H61)/I61</f>
        <v>0.03399081999751886</v>
      </c>
      <c r="K61" s="236">
        <v>90.44</v>
      </c>
      <c r="L61" s="313">
        <f>K61*1.0764</f>
        <v>97.349616</v>
      </c>
      <c r="M61" s="324">
        <f>(L61*$M$5)+L61</f>
        <v>99.1797887808</v>
      </c>
      <c r="N61" s="324">
        <v>105.96368633340671</v>
      </c>
      <c r="O61" s="324">
        <f>(N61*P61)+N61</f>
        <v>119.81314013718297</v>
      </c>
      <c r="P61" s="234">
        <f>$P$9</f>
        <v>0.1307</v>
      </c>
      <c r="Q61" s="324">
        <f>(O61*$Q$9)+O61</f>
        <v>129.5180044882948</v>
      </c>
      <c r="R61" s="650">
        <f>(Q61*$R$9)+Q61</f>
        <v>136.27884432258378</v>
      </c>
    </row>
    <row r="62" spans="1:18" ht="14.25" customHeight="1">
      <c r="A62" s="680" t="s">
        <v>849</v>
      </c>
      <c r="B62" s="679"/>
      <c r="C62" s="680"/>
      <c r="D62" s="680"/>
      <c r="E62" s="680"/>
      <c r="F62" s="680"/>
      <c r="G62" s="198">
        <v>0.1629</v>
      </c>
      <c r="H62" s="227">
        <v>0.1629</v>
      </c>
      <c r="I62" s="227">
        <v>0.1629</v>
      </c>
      <c r="J62" s="228">
        <f>(I62-H62)/I62</f>
        <v>0</v>
      </c>
      <c r="K62" s="235">
        <v>0.1828</v>
      </c>
      <c r="L62" s="300">
        <f>K62*1.0764</f>
        <v>0.19676591999999998</v>
      </c>
      <c r="M62" s="324">
        <f>(L62*$M$5)+L62</f>
        <v>0.20046511929599997</v>
      </c>
      <c r="N62" s="324">
        <v>0.21417693345584637</v>
      </c>
      <c r="O62" s="324">
        <f>(N62*P62)+N62</f>
        <v>0.2421698586585255</v>
      </c>
      <c r="P62" s="234">
        <f>$P$9</f>
        <v>0.1307</v>
      </c>
      <c r="Q62" s="324">
        <f>(O62*$Q$9)+O62</f>
        <v>0.26178561720986604</v>
      </c>
      <c r="R62" s="650">
        <f>(Q62*$R$9)+Q62</f>
        <v>0.27545082642822105</v>
      </c>
    </row>
    <row r="63" spans="1:18" ht="13.5">
      <c r="A63" s="680"/>
      <c r="B63" s="679"/>
      <c r="C63" s="680"/>
      <c r="D63" s="680"/>
      <c r="E63" s="680"/>
      <c r="F63" s="680"/>
      <c r="G63" s="196"/>
      <c r="H63" s="197"/>
      <c r="I63" s="197"/>
      <c r="J63" s="218"/>
      <c r="K63" s="251"/>
      <c r="L63" s="313"/>
      <c r="M63" s="324"/>
      <c r="N63" s="324"/>
      <c r="O63" s="324"/>
      <c r="P63" s="234"/>
      <c r="Q63" s="324"/>
      <c r="R63" s="650"/>
    </row>
    <row r="64" spans="1:18" ht="14.25" customHeight="1">
      <c r="A64" s="200" t="s">
        <v>325</v>
      </c>
      <c r="B64" s="204"/>
      <c r="C64" s="201"/>
      <c r="D64" s="200"/>
      <c r="E64" s="200"/>
      <c r="F64" s="200"/>
      <c r="G64" s="196"/>
      <c r="H64" s="197"/>
      <c r="I64" s="197"/>
      <c r="J64" s="218"/>
      <c r="K64" s="251"/>
      <c r="L64" s="313"/>
      <c r="M64" s="324"/>
      <c r="N64" s="324"/>
      <c r="O64" s="324"/>
      <c r="P64" s="234"/>
      <c r="Q64" s="324"/>
      <c r="R64" s="650"/>
    </row>
    <row r="65" spans="1:18" ht="13.5">
      <c r="A65" s="210" t="s">
        <v>850</v>
      </c>
      <c r="B65" s="205"/>
      <c r="C65" s="201" t="s">
        <v>100</v>
      </c>
      <c r="D65" s="201" t="s">
        <v>309</v>
      </c>
      <c r="E65" s="201" t="s">
        <v>310</v>
      </c>
      <c r="F65" s="680"/>
      <c r="G65" s="196"/>
      <c r="H65" s="197"/>
      <c r="I65" s="197"/>
      <c r="J65" s="218"/>
      <c r="K65" s="251"/>
      <c r="L65" s="313"/>
      <c r="M65" s="324"/>
      <c r="N65" s="324"/>
      <c r="O65" s="324"/>
      <c r="P65" s="234"/>
      <c r="Q65" s="324"/>
      <c r="R65" s="650"/>
    </row>
    <row r="66" spans="1:18" ht="14.25" customHeight="1">
      <c r="A66" s="964" t="s">
        <v>0</v>
      </c>
      <c r="B66" s="212" t="s">
        <v>428</v>
      </c>
      <c r="C66" s="965" t="s">
        <v>2</v>
      </c>
      <c r="D66" s="962" t="s">
        <v>47</v>
      </c>
      <c r="E66" s="962" t="s">
        <v>47</v>
      </c>
      <c r="F66" s="211" t="s">
        <v>3</v>
      </c>
      <c r="G66" s="226">
        <v>3.2015</v>
      </c>
      <c r="H66" s="227">
        <v>3.2015</v>
      </c>
      <c r="I66" s="227">
        <v>3.2015</v>
      </c>
      <c r="J66" s="228">
        <f aca="true" t="shared" si="0" ref="J66:J74">(I66-H66)/I66</f>
        <v>0</v>
      </c>
      <c r="K66" s="235">
        <v>3.5921</v>
      </c>
      <c r="L66" s="300">
        <f aca="true" t="shared" si="1" ref="L66:L74">K66*1.0764</f>
        <v>3.86653644</v>
      </c>
      <c r="M66" s="324">
        <f>(L66*$M$5)+L66</f>
        <v>3.939227325072</v>
      </c>
      <c r="N66" s="324">
        <v>4.208670474106925</v>
      </c>
      <c r="O66" s="324">
        <f aca="true" t="shared" si="2" ref="O66:O74">(N66*P66)+N66</f>
        <v>4.7587437050727</v>
      </c>
      <c r="P66" s="234">
        <f>$P$9</f>
        <v>0.1307</v>
      </c>
      <c r="Q66" s="324">
        <f aca="true" t="shared" si="3" ref="Q66:Q74">(O66*$Q$9)+O66</f>
        <v>5.144201945183588</v>
      </c>
      <c r="R66" s="650">
        <f aca="true" t="shared" si="4" ref="R66:R74">(Q66*$R$9)+Q66</f>
        <v>5.412729286722171</v>
      </c>
    </row>
    <row r="67" spans="1:18" ht="13.5">
      <c r="A67" s="964"/>
      <c r="B67" s="212" t="s">
        <v>429</v>
      </c>
      <c r="C67" s="965"/>
      <c r="D67" s="962"/>
      <c r="E67" s="962"/>
      <c r="F67" s="211" t="s">
        <v>5</v>
      </c>
      <c r="G67" s="226">
        <v>0.8942</v>
      </c>
      <c r="H67" s="227">
        <v>0.8942</v>
      </c>
      <c r="I67" s="227">
        <v>0.8942</v>
      </c>
      <c r="J67" s="228">
        <f t="shared" si="0"/>
        <v>0</v>
      </c>
      <c r="K67" s="235">
        <v>1.0033</v>
      </c>
      <c r="L67" s="300">
        <f t="shared" si="1"/>
        <v>1.0799521200000002</v>
      </c>
      <c r="M67" s="324">
        <f>(L67*$M$5)+L67</f>
        <v>1.1002552198560003</v>
      </c>
      <c r="N67" s="324">
        <v>1.1755126768941506</v>
      </c>
      <c r="O67" s="324">
        <f t="shared" si="2"/>
        <v>1.3291521837642162</v>
      </c>
      <c r="P67" s="234">
        <f>$P$9</f>
        <v>0.1307</v>
      </c>
      <c r="Q67" s="324">
        <f t="shared" si="3"/>
        <v>1.4368135106491178</v>
      </c>
      <c r="R67" s="650">
        <f t="shared" si="4"/>
        <v>1.5118151759050018</v>
      </c>
    </row>
    <row r="68" spans="1:18" ht="23.25" customHeight="1">
      <c r="A68" s="964" t="s">
        <v>6</v>
      </c>
      <c r="B68" s="212" t="s">
        <v>430</v>
      </c>
      <c r="C68" s="965" t="s">
        <v>8</v>
      </c>
      <c r="D68" s="965" t="s">
        <v>9</v>
      </c>
      <c r="E68" s="962" t="s">
        <v>47</v>
      </c>
      <c r="F68" s="211" t="s">
        <v>3</v>
      </c>
      <c r="G68" s="202">
        <v>0.8942</v>
      </c>
      <c r="H68" s="203">
        <v>0.8325</v>
      </c>
      <c r="I68" s="203">
        <v>0.8942</v>
      </c>
      <c r="J68" s="219">
        <f t="shared" si="0"/>
        <v>0.0690002236636099</v>
      </c>
      <c r="K68" s="235">
        <v>1.0033</v>
      </c>
      <c r="L68" s="300">
        <f t="shared" si="1"/>
        <v>1.0799521200000002</v>
      </c>
      <c r="M68" s="324">
        <f aca="true" t="shared" si="5" ref="M68:M74">(L68*$M$5)+L68</f>
        <v>1.1002552198560003</v>
      </c>
      <c r="N68" s="324">
        <v>1.1755126768941506</v>
      </c>
      <c r="O68" s="324">
        <f t="shared" si="2"/>
        <v>1.3291521837642162</v>
      </c>
      <c r="P68" s="234">
        <f aca="true" t="shared" si="6" ref="P68:P74">$P$9</f>
        <v>0.1307</v>
      </c>
      <c r="Q68" s="324">
        <f t="shared" si="3"/>
        <v>1.4368135106491178</v>
      </c>
      <c r="R68" s="650">
        <f t="shared" si="4"/>
        <v>1.5118151759050018</v>
      </c>
    </row>
    <row r="69" spans="1:18" ht="16.5" customHeight="1">
      <c r="A69" s="964"/>
      <c r="B69" s="212" t="s">
        <v>431</v>
      </c>
      <c r="C69" s="965"/>
      <c r="D69" s="965"/>
      <c r="E69" s="962"/>
      <c r="F69" s="211" t="s">
        <v>5</v>
      </c>
      <c r="G69" s="226">
        <v>0.5479</v>
      </c>
      <c r="H69" s="227">
        <v>0.5479</v>
      </c>
      <c r="I69" s="227">
        <v>0.5479</v>
      </c>
      <c r="J69" s="228">
        <f t="shared" si="0"/>
        <v>0</v>
      </c>
      <c r="K69" s="235">
        <v>0.6147</v>
      </c>
      <c r="L69" s="300">
        <f t="shared" si="1"/>
        <v>0.6616630800000001</v>
      </c>
      <c r="M69" s="324">
        <f t="shared" si="5"/>
        <v>0.6741023459040001</v>
      </c>
      <c r="N69" s="324">
        <v>0.7202109463638336</v>
      </c>
      <c r="O69" s="324">
        <f t="shared" si="2"/>
        <v>0.8143425170535867</v>
      </c>
      <c r="P69" s="234">
        <f t="shared" si="6"/>
        <v>0.1307</v>
      </c>
      <c r="Q69" s="324">
        <f t="shared" si="3"/>
        <v>0.8803042609349273</v>
      </c>
      <c r="R69" s="650">
        <f t="shared" si="4"/>
        <v>0.9262561433557305</v>
      </c>
    </row>
    <row r="70" spans="1:18" ht="13.5">
      <c r="A70" s="964" t="s">
        <v>11</v>
      </c>
      <c r="B70" s="212" t="s">
        <v>432</v>
      </c>
      <c r="C70" s="962" t="s">
        <v>13</v>
      </c>
      <c r="D70" s="965" t="s">
        <v>14</v>
      </c>
      <c r="E70" s="962" t="s">
        <v>15</v>
      </c>
      <c r="F70" s="211" t="s">
        <v>3</v>
      </c>
      <c r="G70" s="226">
        <v>0.4446</v>
      </c>
      <c r="H70" s="227">
        <v>0.4446</v>
      </c>
      <c r="I70" s="227">
        <v>0.4446</v>
      </c>
      <c r="J70" s="228">
        <f t="shared" si="0"/>
        <v>0</v>
      </c>
      <c r="K70" s="235">
        <v>0.4988</v>
      </c>
      <c r="L70" s="300">
        <f t="shared" si="1"/>
        <v>0.53690832</v>
      </c>
      <c r="M70" s="324">
        <f t="shared" si="5"/>
        <v>0.547002196416</v>
      </c>
      <c r="N70" s="324">
        <v>0.5844171466508544</v>
      </c>
      <c r="O70" s="324">
        <f t="shared" si="2"/>
        <v>0.6608004677181211</v>
      </c>
      <c r="P70" s="234">
        <f t="shared" si="6"/>
        <v>0.1307</v>
      </c>
      <c r="Q70" s="324">
        <f t="shared" si="3"/>
        <v>0.7143253056032889</v>
      </c>
      <c r="R70" s="650">
        <f t="shared" si="4"/>
        <v>0.7516130865557805</v>
      </c>
    </row>
    <row r="71" spans="1:18" ht="13.5">
      <c r="A71" s="964"/>
      <c r="B71" s="212" t="s">
        <v>433</v>
      </c>
      <c r="C71" s="962"/>
      <c r="D71" s="965"/>
      <c r="E71" s="962"/>
      <c r="F71" s="211" t="s">
        <v>5</v>
      </c>
      <c r="G71" s="226">
        <v>0.383</v>
      </c>
      <c r="H71" s="227">
        <v>0.383</v>
      </c>
      <c r="I71" s="227">
        <v>0.383</v>
      </c>
      <c r="J71" s="228">
        <f t="shared" si="0"/>
        <v>0</v>
      </c>
      <c r="K71" s="235">
        <v>0.4297</v>
      </c>
      <c r="L71" s="300">
        <f t="shared" si="1"/>
        <v>0.46252908000000004</v>
      </c>
      <c r="M71" s="324">
        <f t="shared" si="5"/>
        <v>0.47122462670400006</v>
      </c>
      <c r="N71" s="324">
        <v>0.5034563911705536</v>
      </c>
      <c r="O71" s="324">
        <f t="shared" si="2"/>
        <v>0.569258141496545</v>
      </c>
      <c r="P71" s="234">
        <f t="shared" si="6"/>
        <v>0.1307</v>
      </c>
      <c r="Q71" s="324">
        <f t="shared" si="3"/>
        <v>0.6153680509577651</v>
      </c>
      <c r="R71" s="650">
        <f t="shared" si="4"/>
        <v>0.6474902632177605</v>
      </c>
    </row>
    <row r="72" spans="1:18" ht="13.5">
      <c r="A72" s="680" t="s">
        <v>851</v>
      </c>
      <c r="B72" s="679" t="s">
        <v>434</v>
      </c>
      <c r="C72" s="680"/>
      <c r="D72" s="680"/>
      <c r="E72" s="680"/>
      <c r="F72" s="680"/>
      <c r="G72" s="229">
        <v>392.32</v>
      </c>
      <c r="H72" s="230">
        <v>392.35</v>
      </c>
      <c r="I72" s="230">
        <v>392.32</v>
      </c>
      <c r="J72" s="228">
        <f t="shared" si="0"/>
        <v>-7.64681892333543E-05</v>
      </c>
      <c r="K72" s="236">
        <v>440.18</v>
      </c>
      <c r="L72" s="350">
        <v>526.47</v>
      </c>
      <c r="M72" s="324">
        <f t="shared" si="5"/>
        <v>536.3676360000001</v>
      </c>
      <c r="N72" s="324">
        <v>573.0551823024001</v>
      </c>
      <c r="O72" s="324">
        <f t="shared" si="2"/>
        <v>647.9534946293238</v>
      </c>
      <c r="P72" s="234">
        <f t="shared" si="6"/>
        <v>0.1307</v>
      </c>
      <c r="Q72" s="324">
        <f t="shared" si="3"/>
        <v>700.437727694299</v>
      </c>
      <c r="R72" s="650">
        <f t="shared" si="4"/>
        <v>737.0005770799414</v>
      </c>
    </row>
    <row r="73" spans="1:18" ht="13.5">
      <c r="A73" s="680" t="s">
        <v>852</v>
      </c>
      <c r="B73" s="679" t="s">
        <v>435</v>
      </c>
      <c r="C73" s="680"/>
      <c r="D73" s="680"/>
      <c r="E73" s="680"/>
      <c r="F73" s="680"/>
      <c r="G73" s="229">
        <v>77.7</v>
      </c>
      <c r="H73" s="230">
        <v>77.7</v>
      </c>
      <c r="I73" s="230">
        <v>77.7</v>
      </c>
      <c r="J73" s="228">
        <f t="shared" si="0"/>
        <v>0</v>
      </c>
      <c r="K73" s="236">
        <v>87.18</v>
      </c>
      <c r="L73" s="300">
        <f t="shared" si="1"/>
        <v>93.840552</v>
      </c>
      <c r="M73" s="324">
        <f t="shared" si="5"/>
        <v>95.6047543776</v>
      </c>
      <c r="N73" s="324">
        <v>102.14411957702784</v>
      </c>
      <c r="O73" s="324">
        <f t="shared" si="2"/>
        <v>115.49435600574537</v>
      </c>
      <c r="P73" s="234">
        <f t="shared" si="6"/>
        <v>0.1307</v>
      </c>
      <c r="Q73" s="324">
        <f t="shared" si="3"/>
        <v>124.84939884221075</v>
      </c>
      <c r="R73" s="650">
        <f t="shared" si="4"/>
        <v>131.36653746177416</v>
      </c>
    </row>
    <row r="74" spans="1:18" ht="13.5">
      <c r="A74" s="680" t="s">
        <v>853</v>
      </c>
      <c r="B74" s="679"/>
      <c r="C74" s="680"/>
      <c r="D74" s="680"/>
      <c r="E74" s="680"/>
      <c r="F74" s="680"/>
      <c r="G74" s="226">
        <v>0.1629</v>
      </c>
      <c r="H74" s="227">
        <v>0.1629</v>
      </c>
      <c r="I74" s="227">
        <v>0.1629</v>
      </c>
      <c r="J74" s="228">
        <f t="shared" si="0"/>
        <v>0</v>
      </c>
      <c r="K74" s="235">
        <v>0.1828</v>
      </c>
      <c r="L74" s="300">
        <f t="shared" si="1"/>
        <v>0.19676591999999998</v>
      </c>
      <c r="M74" s="324">
        <f t="shared" si="5"/>
        <v>0.20046511929599997</v>
      </c>
      <c r="N74" s="324">
        <v>0.21417693345584637</v>
      </c>
      <c r="O74" s="324">
        <f t="shared" si="2"/>
        <v>0.2421698586585255</v>
      </c>
      <c r="P74" s="234">
        <f t="shared" si="6"/>
        <v>0.1307</v>
      </c>
      <c r="Q74" s="324">
        <f t="shared" si="3"/>
        <v>0.26178561720986604</v>
      </c>
      <c r="R74" s="650">
        <f t="shared" si="4"/>
        <v>0.27545082642822105</v>
      </c>
    </row>
    <row r="75" spans="1:18" ht="40.5">
      <c r="A75" s="547" t="s">
        <v>1233</v>
      </c>
      <c r="B75" s="204"/>
      <c r="C75" s="680"/>
      <c r="D75" s="201"/>
      <c r="E75" s="682"/>
      <c r="F75" s="201"/>
      <c r="G75" s="196"/>
      <c r="H75" s="197"/>
      <c r="I75" s="197"/>
      <c r="J75" s="218"/>
      <c r="K75" s="251"/>
      <c r="L75" s="313"/>
      <c r="M75" s="324"/>
      <c r="N75" s="324"/>
      <c r="O75" s="324"/>
      <c r="P75" s="234"/>
      <c r="Q75" s="324"/>
      <c r="R75" s="650"/>
    </row>
    <row r="76" spans="1:18" ht="27">
      <c r="A76" s="547" t="s">
        <v>1234</v>
      </c>
      <c r="B76" s="204"/>
      <c r="C76" s="680"/>
      <c r="D76" s="201"/>
      <c r="E76" s="682"/>
      <c r="F76" s="201"/>
      <c r="G76" s="196"/>
      <c r="H76" s="197"/>
      <c r="I76" s="197"/>
      <c r="J76" s="218"/>
      <c r="K76" s="251"/>
      <c r="L76" s="313"/>
      <c r="M76" s="324"/>
      <c r="N76" s="324"/>
      <c r="O76" s="324"/>
      <c r="P76" s="234"/>
      <c r="Q76" s="324"/>
      <c r="R76" s="650"/>
    </row>
    <row r="77" spans="1:18" ht="13.5">
      <c r="A77" s="548" t="s">
        <v>1235</v>
      </c>
      <c r="B77" s="204"/>
      <c r="C77" s="680"/>
      <c r="D77" s="201"/>
      <c r="E77" s="682"/>
      <c r="F77" s="201"/>
      <c r="G77" s="196"/>
      <c r="H77" s="197"/>
      <c r="I77" s="197"/>
      <c r="J77" s="218"/>
      <c r="K77" s="251"/>
      <c r="L77" s="313"/>
      <c r="M77" s="324"/>
      <c r="N77" s="324"/>
      <c r="O77" s="324"/>
      <c r="P77" s="234"/>
      <c r="Q77" s="324"/>
      <c r="R77" s="650"/>
    </row>
    <row r="78" spans="1:18" ht="13.5">
      <c r="A78" s="533"/>
      <c r="B78" s="204"/>
      <c r="C78" s="680"/>
      <c r="D78" s="201"/>
      <c r="E78" s="682"/>
      <c r="F78" s="201"/>
      <c r="G78" s="196"/>
      <c r="H78" s="197"/>
      <c r="I78" s="197"/>
      <c r="J78" s="218"/>
      <c r="K78" s="251"/>
      <c r="L78" s="313"/>
      <c r="M78" s="324"/>
      <c r="N78" s="324"/>
      <c r="O78" s="324"/>
      <c r="P78" s="234"/>
      <c r="Q78" s="324"/>
      <c r="R78" s="650"/>
    </row>
    <row r="79" spans="1:18" ht="13.5">
      <c r="A79" s="533"/>
      <c r="B79" s="204"/>
      <c r="C79" s="680"/>
      <c r="D79" s="201"/>
      <c r="E79" s="682"/>
      <c r="F79" s="201"/>
      <c r="G79" s="196"/>
      <c r="H79" s="197"/>
      <c r="I79" s="197"/>
      <c r="J79" s="218"/>
      <c r="K79" s="251"/>
      <c r="L79" s="313"/>
      <c r="M79" s="324"/>
      <c r="N79" s="324"/>
      <c r="O79" s="324"/>
      <c r="P79" s="234"/>
      <c r="Q79" s="324"/>
      <c r="R79" s="650"/>
    </row>
    <row r="80" spans="1:18" ht="13.5">
      <c r="A80" s="683" t="s">
        <v>326</v>
      </c>
      <c r="B80" s="684"/>
      <c r="C80" s="683"/>
      <c r="D80" s="182"/>
      <c r="E80" s="685"/>
      <c r="F80" s="683"/>
      <c r="G80" s="196"/>
      <c r="H80" s="197"/>
      <c r="I80" s="197"/>
      <c r="J80" s="218"/>
      <c r="K80" s="251"/>
      <c r="L80" s="313"/>
      <c r="M80" s="324"/>
      <c r="N80" s="324"/>
      <c r="O80" s="324"/>
      <c r="P80" s="234"/>
      <c r="Q80" s="324"/>
      <c r="R80" s="650"/>
    </row>
    <row r="81" spans="1:18" ht="14.25" customHeight="1">
      <c r="A81" s="200" t="s">
        <v>327</v>
      </c>
      <c r="B81" s="204"/>
      <c r="C81" s="683"/>
      <c r="D81" s="683"/>
      <c r="E81" s="685"/>
      <c r="F81" s="683"/>
      <c r="G81" s="196"/>
      <c r="H81" s="197"/>
      <c r="I81" s="197"/>
      <c r="J81" s="218"/>
      <c r="K81" s="251"/>
      <c r="L81" s="313"/>
      <c r="M81" s="324"/>
      <c r="N81" s="324"/>
      <c r="O81" s="324"/>
      <c r="P81" s="234"/>
      <c r="Q81" s="324"/>
      <c r="R81" s="650"/>
    </row>
    <row r="82" spans="1:18" ht="13.5">
      <c r="A82" s="200"/>
      <c r="B82" s="204"/>
      <c r="C82" s="683"/>
      <c r="D82" s="683"/>
      <c r="E82" s="685"/>
      <c r="F82" s="683"/>
      <c r="G82" s="196"/>
      <c r="H82" s="197"/>
      <c r="I82" s="197"/>
      <c r="J82" s="218"/>
      <c r="K82" s="251"/>
      <c r="L82" s="313"/>
      <c r="M82" s="324"/>
      <c r="N82" s="324"/>
      <c r="O82" s="324"/>
      <c r="P82" s="234"/>
      <c r="Q82" s="324"/>
      <c r="R82" s="650"/>
    </row>
    <row r="83" spans="1:18" ht="14.25" customHeight="1">
      <c r="A83" s="680" t="s">
        <v>854</v>
      </c>
      <c r="B83" s="679" t="s">
        <v>436</v>
      </c>
      <c r="C83" s="680"/>
      <c r="D83" s="680"/>
      <c r="E83" s="680"/>
      <c r="F83" s="680"/>
      <c r="G83" s="202">
        <v>0.6453</v>
      </c>
      <c r="H83" s="203">
        <v>0.6905</v>
      </c>
      <c r="I83" s="203">
        <v>0.6453</v>
      </c>
      <c r="J83" s="219">
        <f>(I83-H83)/I83</f>
        <v>-0.07004494033782739</v>
      </c>
      <c r="K83" s="235">
        <v>0.6453</v>
      </c>
      <c r="L83" s="300">
        <f>K83*1.0764</f>
        <v>0.69460092</v>
      </c>
      <c r="M83" s="324">
        <f>(L83*$M$5)+L83</f>
        <v>0.7076594172959999</v>
      </c>
      <c r="N83" s="324">
        <v>0.7560633214390463</v>
      </c>
      <c r="O83" s="324">
        <f aca="true" t="shared" si="7" ref="O83:O141">(N83*P83)+N83</f>
        <v>0.8548807975511297</v>
      </c>
      <c r="P83" s="234">
        <f>$P$9</f>
        <v>0.1307</v>
      </c>
      <c r="Q83" s="324">
        <f>(O83*$Q$9)+O83</f>
        <v>0.9241261421527711</v>
      </c>
      <c r="R83" s="650">
        <f>(Q83*$R$9)+Q83</f>
        <v>0.9723655267731458</v>
      </c>
    </row>
    <row r="84" spans="1:18" ht="20.25" customHeight="1">
      <c r="A84" s="680" t="s">
        <v>855</v>
      </c>
      <c r="B84" s="679" t="s">
        <v>437</v>
      </c>
      <c r="C84" s="680"/>
      <c r="D84" s="680"/>
      <c r="E84" s="680"/>
      <c r="F84" s="680"/>
      <c r="G84" s="208">
        <v>4491.49</v>
      </c>
      <c r="H84" s="209">
        <v>4805.98</v>
      </c>
      <c r="I84" s="209">
        <v>4491.49</v>
      </c>
      <c r="J84" s="219">
        <f>(I84-H84)/I84</f>
        <v>-0.07001908052784261</v>
      </c>
      <c r="K84" s="236">
        <v>4491.49</v>
      </c>
      <c r="L84" s="313">
        <f>K84*1.0764</f>
        <v>4834.639836</v>
      </c>
      <c r="M84" s="324">
        <f>(L84*$M$5)+L84</f>
        <v>4925.5310649168005</v>
      </c>
      <c r="N84" s="324">
        <v>5262.4373897571095</v>
      </c>
      <c r="O84" s="324">
        <f t="shared" si="7"/>
        <v>5950.237956598364</v>
      </c>
      <c r="P84" s="234">
        <f>$P$9</f>
        <v>0.1307</v>
      </c>
      <c r="Q84" s="324">
        <f>(O84*$Q$9)+O84</f>
        <v>6432.207231082832</v>
      </c>
      <c r="R84" s="650">
        <f>(Q84*$R$9)+Q84</f>
        <v>6767.968448545355</v>
      </c>
    </row>
    <row r="85" spans="1:18" ht="14.25" customHeight="1">
      <c r="A85" s="680" t="s">
        <v>856</v>
      </c>
      <c r="B85" s="679" t="s">
        <v>438</v>
      </c>
      <c r="C85" s="680"/>
      <c r="D85" s="680"/>
      <c r="E85" s="680"/>
      <c r="F85" s="680"/>
      <c r="G85" s="208">
        <v>64.53</v>
      </c>
      <c r="H85" s="209">
        <v>69.05</v>
      </c>
      <c r="I85" s="209">
        <v>64.53</v>
      </c>
      <c r="J85" s="219">
        <f>(I85-H85)/I85</f>
        <v>-0.07004494033782731</v>
      </c>
      <c r="K85" s="236">
        <v>64.53</v>
      </c>
      <c r="L85" s="313">
        <f>K85*1.0764</f>
        <v>69.460092</v>
      </c>
      <c r="M85" s="324">
        <f>(L85*$M$5)+L85</f>
        <v>70.7659417296</v>
      </c>
      <c r="N85" s="324">
        <v>75.60633214390464</v>
      </c>
      <c r="O85" s="324">
        <f t="shared" si="7"/>
        <v>85.48807975511298</v>
      </c>
      <c r="P85" s="234">
        <f>$P$9</f>
        <v>0.1307</v>
      </c>
      <c r="Q85" s="324">
        <f>(O85*$Q$9)+O85</f>
        <v>92.41261421527713</v>
      </c>
      <c r="R85" s="650">
        <f>(Q85*$R$9)+Q85</f>
        <v>97.23655267731459</v>
      </c>
    </row>
    <row r="86" spans="1:18" ht="13.5">
      <c r="A86" s="680" t="s">
        <v>857</v>
      </c>
      <c r="B86" s="679"/>
      <c r="C86" s="680"/>
      <c r="D86" s="680"/>
      <c r="E86" s="680"/>
      <c r="F86" s="680"/>
      <c r="G86" s="226">
        <v>0.1629</v>
      </c>
      <c r="H86" s="227">
        <v>0.1629</v>
      </c>
      <c r="I86" s="227">
        <v>0.1629</v>
      </c>
      <c r="J86" s="228">
        <f>(I86-H86)/I86</f>
        <v>0</v>
      </c>
      <c r="K86" s="235">
        <v>0.1828</v>
      </c>
      <c r="L86" s="300">
        <f>K86*1.0764</f>
        <v>0.19676591999999998</v>
      </c>
      <c r="M86" s="324">
        <f>(L86*$M$5)+L86</f>
        <v>0.20046511929599997</v>
      </c>
      <c r="N86" s="324">
        <v>0.21417693345584637</v>
      </c>
      <c r="O86" s="324">
        <f t="shared" si="7"/>
        <v>0.2421698586585255</v>
      </c>
      <c r="P86" s="234">
        <f>$P$9</f>
        <v>0.1307</v>
      </c>
      <c r="Q86" s="324">
        <f>(O86*$Q$9)+O86</f>
        <v>0.26178561720986604</v>
      </c>
      <c r="R86" s="650">
        <f>(Q86*$R$9)+Q86</f>
        <v>0.27545082642822105</v>
      </c>
    </row>
    <row r="87" spans="1:18" ht="14.25" customHeight="1">
      <c r="A87" s="200" t="s">
        <v>328</v>
      </c>
      <c r="B87" s="204"/>
      <c r="C87" s="201"/>
      <c r="D87" s="201"/>
      <c r="E87" s="201"/>
      <c r="F87" s="201"/>
      <c r="G87" s="196"/>
      <c r="H87" s="197"/>
      <c r="I87" s="197"/>
      <c r="J87" s="218"/>
      <c r="K87" s="251"/>
      <c r="L87" s="313"/>
      <c r="M87" s="324"/>
      <c r="N87" s="324"/>
      <c r="O87" s="324"/>
      <c r="P87" s="234"/>
      <c r="Q87" s="324"/>
      <c r="R87" s="650"/>
    </row>
    <row r="88" spans="1:18" ht="13.5">
      <c r="A88" s="210" t="s">
        <v>858</v>
      </c>
      <c r="B88" s="205"/>
      <c r="C88" s="201" t="s">
        <v>100</v>
      </c>
      <c r="D88" s="201" t="s">
        <v>309</v>
      </c>
      <c r="E88" s="201" t="s">
        <v>310</v>
      </c>
      <c r="F88" s="680"/>
      <c r="G88" s="196"/>
      <c r="H88" s="197"/>
      <c r="I88" s="197"/>
      <c r="J88" s="218"/>
      <c r="K88" s="251"/>
      <c r="L88" s="313"/>
      <c r="M88" s="324"/>
      <c r="N88" s="324"/>
      <c r="O88" s="324"/>
      <c r="P88" s="234"/>
      <c r="Q88" s="324"/>
      <c r="R88" s="650"/>
    </row>
    <row r="89" spans="1:18" ht="20.25" customHeight="1">
      <c r="A89" s="964" t="s">
        <v>0</v>
      </c>
      <c r="B89" s="212" t="s">
        <v>439</v>
      </c>
      <c r="C89" s="965" t="s">
        <v>2</v>
      </c>
      <c r="D89" s="962" t="s">
        <v>47</v>
      </c>
      <c r="E89" s="962" t="s">
        <v>47</v>
      </c>
      <c r="F89" s="211" t="s">
        <v>3</v>
      </c>
      <c r="G89" s="198">
        <v>3.4204</v>
      </c>
      <c r="H89" s="227">
        <v>3.4204</v>
      </c>
      <c r="I89" s="227">
        <v>3.4204</v>
      </c>
      <c r="J89" s="228">
        <f aca="true" t="shared" si="8" ref="J89:J97">(I89-H89)/I89</f>
        <v>0</v>
      </c>
      <c r="K89" s="235">
        <v>3.8377</v>
      </c>
      <c r="L89" s="300">
        <f aca="true" t="shared" si="9" ref="L89:L96">K89*1.0764</f>
        <v>4.13090028</v>
      </c>
      <c r="M89" s="324">
        <f aca="true" t="shared" si="10" ref="M89:M97">(L89*$M$5)+L89</f>
        <v>4.208561205264</v>
      </c>
      <c r="N89" s="324">
        <v>4.4964267917040575</v>
      </c>
      <c r="O89" s="324">
        <f t="shared" si="7"/>
        <v>5.084109773379778</v>
      </c>
      <c r="P89" s="234">
        <f aca="true" t="shared" si="11" ref="P89:P97">$P$9</f>
        <v>0.1307</v>
      </c>
      <c r="Q89" s="324">
        <f aca="true" t="shared" si="12" ref="Q89:Q97">(O89*$Q$9)+O89</f>
        <v>5.4959226650235395</v>
      </c>
      <c r="R89" s="650">
        <f aca="true" t="shared" si="13" ref="R89:R97">(Q89*$R$9)+Q89</f>
        <v>5.7828098281377684</v>
      </c>
    </row>
    <row r="90" spans="1:18" ht="18" customHeight="1">
      <c r="A90" s="964"/>
      <c r="B90" s="212" t="s">
        <v>440</v>
      </c>
      <c r="C90" s="965"/>
      <c r="D90" s="962"/>
      <c r="E90" s="962"/>
      <c r="F90" s="211" t="s">
        <v>5</v>
      </c>
      <c r="G90" s="198">
        <v>0.9551</v>
      </c>
      <c r="H90" s="227">
        <v>0.9551</v>
      </c>
      <c r="I90" s="227">
        <v>0.9551</v>
      </c>
      <c r="J90" s="228">
        <f t="shared" si="8"/>
        <v>0</v>
      </c>
      <c r="K90" s="235">
        <v>1.0716</v>
      </c>
      <c r="L90" s="300">
        <f t="shared" si="9"/>
        <v>1.15347024</v>
      </c>
      <c r="M90" s="324">
        <f t="shared" si="10"/>
        <v>1.1751554805120001</v>
      </c>
      <c r="N90" s="324">
        <v>1.255536115379021</v>
      </c>
      <c r="O90" s="324">
        <f t="shared" si="7"/>
        <v>1.4196346856590591</v>
      </c>
      <c r="P90" s="234">
        <f t="shared" si="11"/>
        <v>0.1307</v>
      </c>
      <c r="Q90" s="324">
        <f t="shared" si="12"/>
        <v>1.534625095197443</v>
      </c>
      <c r="R90" s="650">
        <f t="shared" si="13"/>
        <v>1.6147325251667495</v>
      </c>
    </row>
    <row r="91" spans="1:18" ht="15.75" customHeight="1">
      <c r="A91" s="964" t="s">
        <v>6</v>
      </c>
      <c r="B91" s="212" t="s">
        <v>441</v>
      </c>
      <c r="C91" s="965" t="s">
        <v>8</v>
      </c>
      <c r="D91" s="965" t="s">
        <v>9</v>
      </c>
      <c r="E91" s="962" t="s">
        <v>47</v>
      </c>
      <c r="F91" s="211" t="s">
        <v>3</v>
      </c>
      <c r="G91" s="198">
        <v>0.8894</v>
      </c>
      <c r="H91" s="227">
        <v>0.8894</v>
      </c>
      <c r="I91" s="227">
        <v>0.8894</v>
      </c>
      <c r="J91" s="228">
        <f t="shared" si="8"/>
        <v>0</v>
      </c>
      <c r="K91" s="235">
        <v>0.9979</v>
      </c>
      <c r="L91" s="300">
        <f t="shared" si="9"/>
        <v>1.07413956</v>
      </c>
      <c r="M91" s="324">
        <f t="shared" si="10"/>
        <v>1.094333383728</v>
      </c>
      <c r="N91" s="324">
        <v>1.1691857871749953</v>
      </c>
      <c r="O91" s="324">
        <f t="shared" si="7"/>
        <v>1.3219983695587672</v>
      </c>
      <c r="P91" s="234">
        <f t="shared" si="11"/>
        <v>0.1307</v>
      </c>
      <c r="Q91" s="324">
        <f t="shared" si="12"/>
        <v>1.4290802374930274</v>
      </c>
      <c r="R91" s="650">
        <f t="shared" si="13"/>
        <v>1.5036782258901633</v>
      </c>
    </row>
    <row r="92" spans="1:18" ht="23.25" customHeight="1">
      <c r="A92" s="964"/>
      <c r="B92" s="212" t="s">
        <v>442</v>
      </c>
      <c r="C92" s="965"/>
      <c r="D92" s="965"/>
      <c r="E92" s="962"/>
      <c r="F92" s="211" t="s">
        <v>5</v>
      </c>
      <c r="G92" s="198">
        <v>0.5853</v>
      </c>
      <c r="H92" s="227">
        <v>0.5853</v>
      </c>
      <c r="I92" s="227">
        <v>0.5853</v>
      </c>
      <c r="J92" s="228">
        <f t="shared" si="8"/>
        <v>0</v>
      </c>
      <c r="K92" s="235">
        <v>0.6567</v>
      </c>
      <c r="L92" s="300">
        <f t="shared" si="9"/>
        <v>0.70687188</v>
      </c>
      <c r="M92" s="324">
        <f t="shared" si="10"/>
        <v>0.720161071344</v>
      </c>
      <c r="N92" s="324">
        <v>0.7694200886239296</v>
      </c>
      <c r="O92" s="324">
        <f t="shared" si="7"/>
        <v>0.8699832942070772</v>
      </c>
      <c r="P92" s="234">
        <f t="shared" si="11"/>
        <v>0.1307</v>
      </c>
      <c r="Q92" s="324">
        <f t="shared" si="12"/>
        <v>0.9404519410378505</v>
      </c>
      <c r="R92" s="650">
        <f t="shared" si="13"/>
        <v>0.9895435323600262</v>
      </c>
    </row>
    <row r="93" spans="1:18" ht="13.5">
      <c r="A93" s="964" t="s">
        <v>11</v>
      </c>
      <c r="B93" s="212" t="s">
        <v>443</v>
      </c>
      <c r="C93" s="962" t="s">
        <v>13</v>
      </c>
      <c r="D93" s="965" t="s">
        <v>14</v>
      </c>
      <c r="E93" s="962" t="s">
        <v>15</v>
      </c>
      <c r="F93" s="211" t="s">
        <v>3</v>
      </c>
      <c r="G93" s="198">
        <v>0.475</v>
      </c>
      <c r="H93" s="227">
        <v>0.475</v>
      </c>
      <c r="I93" s="227">
        <v>0.475</v>
      </c>
      <c r="J93" s="228">
        <f t="shared" si="8"/>
        <v>0</v>
      </c>
      <c r="K93" s="235">
        <v>0.533</v>
      </c>
      <c r="L93" s="300">
        <f t="shared" si="9"/>
        <v>0.5737212</v>
      </c>
      <c r="M93" s="324">
        <f t="shared" si="10"/>
        <v>0.58450715856</v>
      </c>
      <c r="N93" s="324">
        <v>0.6244874482055041</v>
      </c>
      <c r="O93" s="324">
        <f t="shared" si="7"/>
        <v>0.7061079576859635</v>
      </c>
      <c r="P93" s="234">
        <f t="shared" si="11"/>
        <v>0.1307</v>
      </c>
      <c r="Q93" s="324">
        <f t="shared" si="12"/>
        <v>0.7633027022585265</v>
      </c>
      <c r="R93" s="650">
        <f t="shared" si="13"/>
        <v>0.8031471033164216</v>
      </c>
    </row>
    <row r="94" spans="1:18" ht="13.5">
      <c r="A94" s="964"/>
      <c r="B94" s="212" t="s">
        <v>444</v>
      </c>
      <c r="C94" s="962"/>
      <c r="D94" s="965"/>
      <c r="E94" s="962"/>
      <c r="F94" s="211" t="s">
        <v>5</v>
      </c>
      <c r="G94" s="202">
        <v>0.475</v>
      </c>
      <c r="H94" s="203">
        <v>0.4094</v>
      </c>
      <c r="I94" s="203">
        <v>0.475</v>
      </c>
      <c r="J94" s="219">
        <f t="shared" si="8"/>
        <v>0.13810526315789473</v>
      </c>
      <c r="K94" s="235">
        <v>0.533</v>
      </c>
      <c r="L94" s="300">
        <f t="shared" si="9"/>
        <v>0.5737212</v>
      </c>
      <c r="M94" s="324">
        <f t="shared" si="10"/>
        <v>0.58450715856</v>
      </c>
      <c r="N94" s="324">
        <v>0.6244874482055041</v>
      </c>
      <c r="O94" s="324">
        <f t="shared" si="7"/>
        <v>0.7061079576859635</v>
      </c>
      <c r="P94" s="234">
        <f t="shared" si="11"/>
        <v>0.1307</v>
      </c>
      <c r="Q94" s="324">
        <f t="shared" si="12"/>
        <v>0.7633027022585265</v>
      </c>
      <c r="R94" s="650">
        <f t="shared" si="13"/>
        <v>0.8031471033164216</v>
      </c>
    </row>
    <row r="95" spans="1:18" ht="13.5">
      <c r="A95" s="680" t="s">
        <v>859</v>
      </c>
      <c r="B95" s="679" t="s">
        <v>445</v>
      </c>
      <c r="C95" s="680"/>
      <c r="D95" s="680"/>
      <c r="E95" s="680"/>
      <c r="F95" s="680"/>
      <c r="G95" s="207">
        <v>4805.98</v>
      </c>
      <c r="H95" s="230">
        <v>4805.98</v>
      </c>
      <c r="I95" s="230">
        <v>4805.98</v>
      </c>
      <c r="J95" s="228">
        <f t="shared" si="8"/>
        <v>0</v>
      </c>
      <c r="K95" s="236">
        <v>5392.31</v>
      </c>
      <c r="L95" s="313">
        <f t="shared" si="9"/>
        <v>5804.282484</v>
      </c>
      <c r="M95" s="324">
        <f t="shared" si="10"/>
        <v>5913.4029946992005</v>
      </c>
      <c r="N95" s="324">
        <v>6317.879759536626</v>
      </c>
      <c r="O95" s="324">
        <f t="shared" si="7"/>
        <v>7143.6266441080625</v>
      </c>
      <c r="P95" s="234">
        <f t="shared" si="11"/>
        <v>0.1307</v>
      </c>
      <c r="Q95" s="324">
        <f t="shared" si="12"/>
        <v>7722.2604022808155</v>
      </c>
      <c r="R95" s="650">
        <f t="shared" si="13"/>
        <v>8125.362395279874</v>
      </c>
    </row>
    <row r="96" spans="1:18" ht="13.5">
      <c r="A96" s="680" t="s">
        <v>860</v>
      </c>
      <c r="B96" s="679" t="s">
        <v>446</v>
      </c>
      <c r="C96" s="680"/>
      <c r="D96" s="680"/>
      <c r="E96" s="680"/>
      <c r="F96" s="680"/>
      <c r="G96" s="207">
        <v>69.05</v>
      </c>
      <c r="H96" s="230">
        <v>69.05</v>
      </c>
      <c r="I96" s="230">
        <v>69.05</v>
      </c>
      <c r="J96" s="228">
        <f t="shared" si="8"/>
        <v>0</v>
      </c>
      <c r="K96" s="236">
        <v>77.47</v>
      </c>
      <c r="L96" s="324">
        <f t="shared" si="9"/>
        <v>83.388708</v>
      </c>
      <c r="M96" s="324">
        <f t="shared" si="10"/>
        <v>84.9564157104</v>
      </c>
      <c r="N96" s="324">
        <v>90.76743454499136</v>
      </c>
      <c r="O96" s="324">
        <f t="shared" si="7"/>
        <v>102.63073824002173</v>
      </c>
      <c r="P96" s="234">
        <f t="shared" si="11"/>
        <v>0.1307</v>
      </c>
      <c r="Q96" s="324">
        <f t="shared" si="12"/>
        <v>110.94382803746349</v>
      </c>
      <c r="R96" s="650">
        <f t="shared" si="13"/>
        <v>116.73509586101909</v>
      </c>
    </row>
    <row r="97" spans="1:18" ht="13.5">
      <c r="A97" s="680" t="s">
        <v>861</v>
      </c>
      <c r="B97" s="679"/>
      <c r="C97" s="680"/>
      <c r="D97" s="680"/>
      <c r="E97" s="680"/>
      <c r="F97" s="680"/>
      <c r="G97" s="198">
        <v>0.1629</v>
      </c>
      <c r="H97" s="227">
        <v>0.1629</v>
      </c>
      <c r="I97" s="227">
        <v>0.1629</v>
      </c>
      <c r="J97" s="228">
        <f t="shared" si="8"/>
        <v>0</v>
      </c>
      <c r="K97" s="235">
        <v>0.1828</v>
      </c>
      <c r="L97" s="300">
        <v>19.68</v>
      </c>
      <c r="M97" s="324">
        <f t="shared" si="10"/>
        <v>20.049984</v>
      </c>
      <c r="N97" s="324">
        <v>21.421402905599997</v>
      </c>
      <c r="O97" s="324">
        <f t="shared" si="7"/>
        <v>24.221180265361916</v>
      </c>
      <c r="P97" s="234">
        <f t="shared" si="11"/>
        <v>0.1307</v>
      </c>
      <c r="Q97" s="324">
        <f t="shared" si="12"/>
        <v>26.18309586685623</v>
      </c>
      <c r="R97" s="650">
        <f t="shared" si="13"/>
        <v>27.549853471106125</v>
      </c>
    </row>
    <row r="98" spans="1:18" ht="13.5">
      <c r="A98" s="552" t="s">
        <v>1238</v>
      </c>
      <c r="B98" s="679"/>
      <c r="C98" s="680"/>
      <c r="D98" s="680"/>
      <c r="E98" s="680"/>
      <c r="F98" s="680"/>
      <c r="G98" s="198"/>
      <c r="H98" s="227"/>
      <c r="I98" s="227"/>
      <c r="J98" s="228"/>
      <c r="K98" s="235"/>
      <c r="L98" s="300"/>
      <c r="M98" s="324"/>
      <c r="N98" s="324"/>
      <c r="O98" s="324"/>
      <c r="P98" s="234"/>
      <c r="Q98" s="324"/>
      <c r="R98" s="650"/>
    </row>
    <row r="99" spans="1:18" ht="13.5">
      <c r="A99" s="552" t="s">
        <v>1239</v>
      </c>
      <c r="B99" s="204"/>
      <c r="C99" s="680"/>
      <c r="D99" s="201"/>
      <c r="E99" s="682"/>
      <c r="F99" s="201"/>
      <c r="G99" s="196"/>
      <c r="H99" s="197"/>
      <c r="I99" s="197"/>
      <c r="J99" s="218"/>
      <c r="K99" s="251"/>
      <c r="L99" s="313"/>
      <c r="M99" s="324"/>
      <c r="N99" s="324"/>
      <c r="O99" s="324"/>
      <c r="P99" s="234"/>
      <c r="Q99" s="324"/>
      <c r="R99" s="650"/>
    </row>
    <row r="100" spans="1:18" ht="13.5">
      <c r="A100" s="548"/>
      <c r="B100" s="204"/>
      <c r="C100" s="680"/>
      <c r="D100" s="201"/>
      <c r="E100" s="682"/>
      <c r="F100" s="201"/>
      <c r="G100" s="196"/>
      <c r="H100" s="197"/>
      <c r="I100" s="197"/>
      <c r="J100" s="218"/>
      <c r="K100" s="251"/>
      <c r="L100" s="313"/>
      <c r="M100" s="324"/>
      <c r="N100" s="324"/>
      <c r="O100" s="324"/>
      <c r="P100" s="234"/>
      <c r="Q100" s="324"/>
      <c r="R100" s="650"/>
    </row>
    <row r="101" spans="1:18" ht="13.5">
      <c r="A101" s="683" t="s">
        <v>329</v>
      </c>
      <c r="B101" s="684"/>
      <c r="C101" s="683"/>
      <c r="D101" s="683"/>
      <c r="E101" s="685"/>
      <c r="F101" s="683"/>
      <c r="G101" s="196"/>
      <c r="H101" s="197"/>
      <c r="I101" s="197"/>
      <c r="J101" s="218"/>
      <c r="K101" s="251"/>
      <c r="L101" s="313"/>
      <c r="M101" s="324"/>
      <c r="N101" s="324"/>
      <c r="O101" s="324"/>
      <c r="P101" s="234"/>
      <c r="Q101" s="324"/>
      <c r="R101" s="650"/>
    </row>
    <row r="102" spans="1:18" ht="13.5">
      <c r="A102" s="200" t="s">
        <v>330</v>
      </c>
      <c r="B102" s="204"/>
      <c r="C102" s="201"/>
      <c r="D102" s="201"/>
      <c r="E102" s="201"/>
      <c r="F102" s="201"/>
      <c r="G102" s="196"/>
      <c r="H102" s="197"/>
      <c r="I102" s="197"/>
      <c r="J102" s="218"/>
      <c r="K102" s="251"/>
      <c r="L102" s="313"/>
      <c r="M102" s="324"/>
      <c r="N102" s="324"/>
      <c r="O102" s="324"/>
      <c r="P102" s="234"/>
      <c r="Q102" s="324"/>
      <c r="R102" s="650"/>
    </row>
    <row r="103" spans="1:18" ht="13.5">
      <c r="A103" s="200"/>
      <c r="B103" s="204"/>
      <c r="C103" s="201"/>
      <c r="D103" s="201"/>
      <c r="E103" s="201"/>
      <c r="F103" s="201"/>
      <c r="G103" s="196"/>
      <c r="H103" s="197"/>
      <c r="I103" s="197"/>
      <c r="J103" s="218"/>
      <c r="K103" s="251"/>
      <c r="L103" s="313"/>
      <c r="M103" s="324"/>
      <c r="N103" s="324"/>
      <c r="O103" s="324"/>
      <c r="P103" s="234"/>
      <c r="Q103" s="324"/>
      <c r="R103" s="650"/>
    </row>
    <row r="104" spans="1:18" s="1000" customFormat="1" ht="13.5">
      <c r="A104" s="993" t="s">
        <v>862</v>
      </c>
      <c r="B104" s="994" t="s">
        <v>331</v>
      </c>
      <c r="C104" s="993"/>
      <c r="D104" s="993"/>
      <c r="E104" s="993"/>
      <c r="F104" s="993"/>
      <c r="G104" s="545">
        <v>1.19</v>
      </c>
      <c r="H104" s="995">
        <v>1.19</v>
      </c>
      <c r="I104" s="995">
        <v>1.19</v>
      </c>
      <c r="J104" s="996">
        <f>(I104-H104)/I104</f>
        <v>0</v>
      </c>
      <c r="K104" s="997">
        <v>1.3352</v>
      </c>
      <c r="L104" s="998">
        <f>K104*1.0764</f>
        <v>1.43720928</v>
      </c>
      <c r="M104" s="425">
        <f>(L104*$M$5)+L104</f>
        <v>1.464228814464</v>
      </c>
      <c r="N104" s="425">
        <v>1.4642</v>
      </c>
      <c r="O104" s="425">
        <v>1.52</v>
      </c>
      <c r="P104" s="999">
        <f>(O104-N104)/N104</f>
        <v>0.03810954787597328</v>
      </c>
      <c r="Q104" s="425">
        <f>(O104*$Q$9)+O104</f>
        <v>1.6431200000000001</v>
      </c>
      <c r="R104" s="718">
        <f>(Q104*$R$9)+Q104</f>
        <v>1.7288908640000002</v>
      </c>
    </row>
    <row r="105" spans="1:18" ht="13.5">
      <c r="A105" s="680" t="s">
        <v>863</v>
      </c>
      <c r="B105" s="679" t="s">
        <v>332</v>
      </c>
      <c r="C105" s="680"/>
      <c r="D105" s="680"/>
      <c r="E105" s="680"/>
      <c r="F105" s="680"/>
      <c r="G105" s="207">
        <v>4.82</v>
      </c>
      <c r="H105" s="230">
        <v>4.82</v>
      </c>
      <c r="I105" s="230">
        <v>4.82</v>
      </c>
      <c r="J105" s="228">
        <f>(I105-H105)/I105</f>
        <v>0</v>
      </c>
      <c r="K105" s="236">
        <v>5.41</v>
      </c>
      <c r="L105" s="313">
        <f>K105*1.0764</f>
        <v>5.823324</v>
      </c>
      <c r="M105" s="324">
        <f>(L105*$M$5)+L105</f>
        <v>5.9328024912</v>
      </c>
      <c r="N105" s="324">
        <v>5.93</v>
      </c>
      <c r="O105" s="324">
        <f t="shared" si="7"/>
        <v>6.705051</v>
      </c>
      <c r="P105" s="234">
        <f>$P$9</f>
        <v>0.1307</v>
      </c>
      <c r="Q105" s="324">
        <f>(O105*$Q$9)+O105</f>
        <v>7.248160131000001</v>
      </c>
      <c r="R105" s="650">
        <f>(Q105*$R$9)+Q105</f>
        <v>7.6265140898382</v>
      </c>
    </row>
    <row r="106" spans="1:18" ht="13.5">
      <c r="A106" s="200" t="s">
        <v>864</v>
      </c>
      <c r="B106" s="204"/>
      <c r="C106" s="201"/>
      <c r="D106" s="201"/>
      <c r="E106" s="201"/>
      <c r="F106" s="201"/>
      <c r="G106" s="196"/>
      <c r="H106" s="197"/>
      <c r="I106" s="197"/>
      <c r="J106" s="219"/>
      <c r="K106" s="251"/>
      <c r="L106" s="313"/>
      <c r="M106" s="324"/>
      <c r="N106" s="324"/>
      <c r="O106" s="324"/>
      <c r="P106" s="234"/>
      <c r="Q106" s="324"/>
      <c r="R106" s="650"/>
    </row>
    <row r="107" spans="1:18" ht="13.5">
      <c r="A107" s="680" t="s">
        <v>865</v>
      </c>
      <c r="B107" s="679"/>
      <c r="C107" s="680"/>
      <c r="D107" s="680"/>
      <c r="E107" s="680"/>
      <c r="F107" s="680"/>
      <c r="G107" s="196"/>
      <c r="H107" s="197"/>
      <c r="I107" s="197"/>
      <c r="J107" s="219"/>
      <c r="K107" s="251"/>
      <c r="L107" s="313"/>
      <c r="M107" s="324"/>
      <c r="N107" s="324"/>
      <c r="O107" s="324"/>
      <c r="P107" s="234"/>
      <c r="Q107" s="324"/>
      <c r="R107" s="650"/>
    </row>
    <row r="108" spans="1:18" ht="13.5">
      <c r="A108" s="680" t="s">
        <v>866</v>
      </c>
      <c r="B108" s="679" t="s">
        <v>447</v>
      </c>
      <c r="C108" s="680"/>
      <c r="D108" s="680"/>
      <c r="E108" s="680"/>
      <c r="F108" s="680"/>
      <c r="G108" s="198">
        <v>2.4064</v>
      </c>
      <c r="H108" s="227">
        <v>2.4064</v>
      </c>
      <c r="I108" s="232">
        <v>2.4064</v>
      </c>
      <c r="J108" s="228">
        <f>(I108-H108)/I108</f>
        <v>0</v>
      </c>
      <c r="K108" s="235">
        <v>2.7</v>
      </c>
      <c r="L108" s="300">
        <f>K108*1.0764</f>
        <v>2.90628</v>
      </c>
      <c r="M108" s="324">
        <f>(L108*$M$5)+L108</f>
        <v>2.9609180640000003</v>
      </c>
      <c r="N108" s="324">
        <v>3.1634448595776004</v>
      </c>
      <c r="O108" s="324">
        <f t="shared" si="7"/>
        <v>3.576907102724393</v>
      </c>
      <c r="P108" s="234">
        <f>$P$9</f>
        <v>0.1307</v>
      </c>
      <c r="Q108" s="324">
        <f>(O108*$Q$9)+O108</f>
        <v>3.8666365780450684</v>
      </c>
      <c r="R108" s="650">
        <f>(Q108*$R$9)+Q108</f>
        <v>4.068475007419021</v>
      </c>
    </row>
    <row r="109" spans="1:18" ht="13.5">
      <c r="A109" s="680" t="s">
        <v>867</v>
      </c>
      <c r="B109" s="679" t="s">
        <v>448</v>
      </c>
      <c r="C109" s="680"/>
      <c r="D109" s="680"/>
      <c r="E109" s="680"/>
      <c r="F109" s="680"/>
      <c r="G109" s="198">
        <v>1.1312</v>
      </c>
      <c r="H109" s="227">
        <v>1.1312</v>
      </c>
      <c r="I109" s="232">
        <v>1.1312</v>
      </c>
      <c r="J109" s="228">
        <f>(I109-H109)/I109</f>
        <v>0</v>
      </c>
      <c r="K109" s="235">
        <v>1.2692</v>
      </c>
      <c r="L109" s="300">
        <f>K109*1.0764</f>
        <v>1.3661668800000002</v>
      </c>
      <c r="M109" s="324">
        <f>(L109*$M$5)+L109</f>
        <v>1.3918508173440003</v>
      </c>
      <c r="N109" s="324">
        <v>1.48705341325033</v>
      </c>
      <c r="O109" s="324">
        <f t="shared" si="7"/>
        <v>1.681411294362148</v>
      </c>
      <c r="P109" s="234">
        <f>$P$9</f>
        <v>0.1307</v>
      </c>
      <c r="Q109" s="324">
        <f>(O109*$Q$9)+O109</f>
        <v>1.817605609205482</v>
      </c>
      <c r="R109" s="650">
        <f>(Q109*$R$9)+Q109</f>
        <v>1.912484622006008</v>
      </c>
    </row>
    <row r="110" spans="1:18" ht="13.5">
      <c r="A110" s="680" t="s">
        <v>868</v>
      </c>
      <c r="B110" s="679" t="s">
        <v>449</v>
      </c>
      <c r="C110" s="680"/>
      <c r="D110" s="680"/>
      <c r="E110" s="680"/>
      <c r="F110" s="680"/>
      <c r="G110" s="198">
        <v>0.7429</v>
      </c>
      <c r="H110" s="227">
        <v>0.7429</v>
      </c>
      <c r="I110" s="232">
        <v>0.7429</v>
      </c>
      <c r="J110" s="228">
        <f>(I110-H110)/I110</f>
        <v>0</v>
      </c>
      <c r="K110" s="235">
        <v>0.8335</v>
      </c>
      <c r="L110" s="300">
        <f>K110*1.0764</f>
        <v>0.8971794000000001</v>
      </c>
      <c r="M110" s="324">
        <f>(L110*$M$5)+L110</f>
        <v>0.9140463727200001</v>
      </c>
      <c r="N110" s="324">
        <v>0.9765671446140481</v>
      </c>
      <c r="O110" s="324">
        <f t="shared" si="7"/>
        <v>1.1042044704151042</v>
      </c>
      <c r="P110" s="234">
        <f>$P$9</f>
        <v>0.1307</v>
      </c>
      <c r="Q110" s="324">
        <f>(O110*$Q$9)+O110</f>
        <v>1.1936450325187276</v>
      </c>
      <c r="R110" s="650">
        <f>(Q110*$R$9)+Q110</f>
        <v>1.2559533032162051</v>
      </c>
    </row>
    <row r="111" spans="1:18" ht="13.5">
      <c r="A111" s="680" t="s">
        <v>869</v>
      </c>
      <c r="B111" s="679" t="s">
        <v>450</v>
      </c>
      <c r="C111" s="680"/>
      <c r="D111" s="680"/>
      <c r="E111" s="680"/>
      <c r="F111" s="680"/>
      <c r="G111" s="207">
        <v>4.82</v>
      </c>
      <c r="H111" s="230">
        <v>4.82</v>
      </c>
      <c r="I111" s="233">
        <v>4.82</v>
      </c>
      <c r="J111" s="228">
        <f>(I111-H111)/I111</f>
        <v>0</v>
      </c>
      <c r="K111" s="236">
        <v>5.41</v>
      </c>
      <c r="L111" s="313">
        <f>K111*1.0764</f>
        <v>5.823324</v>
      </c>
      <c r="M111" s="324">
        <f>(L111*$M$5)+L111</f>
        <v>5.9328024912</v>
      </c>
      <c r="N111" s="324">
        <v>6.33860618159808</v>
      </c>
      <c r="O111" s="324">
        <f t="shared" si="7"/>
        <v>7.167062009532949</v>
      </c>
      <c r="P111" s="234">
        <f>$P$9</f>
        <v>0.1307</v>
      </c>
      <c r="Q111" s="324">
        <f>(O111*$Q$9)+O111</f>
        <v>7.747594032305118</v>
      </c>
      <c r="R111" s="650">
        <f>(Q111*$R$9)+Q111</f>
        <v>8.152018440791446</v>
      </c>
    </row>
    <row r="112" spans="1:18" ht="13.5">
      <c r="A112" s="200" t="s">
        <v>333</v>
      </c>
      <c r="B112" s="204"/>
      <c r="C112" s="201"/>
      <c r="D112" s="201"/>
      <c r="E112" s="201"/>
      <c r="F112" s="201"/>
      <c r="G112" s="196"/>
      <c r="H112" s="197"/>
      <c r="I112" s="197"/>
      <c r="J112" s="219"/>
      <c r="K112" s="251"/>
      <c r="L112" s="313"/>
      <c r="M112" s="324"/>
      <c r="N112" s="324"/>
      <c r="O112" s="324"/>
      <c r="P112" s="234"/>
      <c r="Q112" s="324"/>
      <c r="R112" s="650"/>
    </row>
    <row r="113" spans="1:18" ht="13.5">
      <c r="A113" s="200" t="s">
        <v>451</v>
      </c>
      <c r="B113" s="204"/>
      <c r="C113" s="688" t="s">
        <v>452</v>
      </c>
      <c r="D113" s="201"/>
      <c r="E113" s="201"/>
      <c r="F113" s="201"/>
      <c r="G113" s="196"/>
      <c r="H113" s="197"/>
      <c r="I113" s="197"/>
      <c r="J113" s="219"/>
      <c r="K113" s="251"/>
      <c r="L113" s="313"/>
      <c r="M113" s="324"/>
      <c r="N113" s="324"/>
      <c r="O113" s="324"/>
      <c r="P113" s="234"/>
      <c r="Q113" s="324"/>
      <c r="R113" s="650"/>
    </row>
    <row r="114" spans="1:18" ht="13.5">
      <c r="A114" s="680" t="s">
        <v>870</v>
      </c>
      <c r="B114" s="679" t="s">
        <v>316</v>
      </c>
      <c r="C114" s="680"/>
      <c r="D114" s="680"/>
      <c r="E114" s="680"/>
      <c r="F114" s="680"/>
      <c r="G114" s="206">
        <v>1.3948</v>
      </c>
      <c r="H114" s="203">
        <v>1.3948</v>
      </c>
      <c r="I114" s="203">
        <v>1.3913</v>
      </c>
      <c r="J114" s="219">
        <f>(I114-H114)/I114</f>
        <v>-0.0025156328613527338</v>
      </c>
      <c r="K114" s="235">
        <v>1.3913</v>
      </c>
      <c r="L114" s="300">
        <f>K114*1.0764</f>
        <v>1.49759532</v>
      </c>
      <c r="M114" s="324">
        <f>(L114*$M$5)+L114</f>
        <v>1.525750112016</v>
      </c>
      <c r="N114" s="324">
        <v>1.6301114196778943</v>
      </c>
      <c r="O114" s="324">
        <f t="shared" si="7"/>
        <v>1.8431669822297951</v>
      </c>
      <c r="P114" s="234">
        <f>$P$9</f>
        <v>0.1307</v>
      </c>
      <c r="Q114" s="324">
        <f>(O114*$Q$9)+O114</f>
        <v>1.9924635077904085</v>
      </c>
      <c r="R114" s="650">
        <f>(Q114*$R$9)+Q114</f>
        <v>2.096470102897068</v>
      </c>
    </row>
    <row r="115" spans="1:18" ht="13.5">
      <c r="A115" s="680" t="s">
        <v>871</v>
      </c>
      <c r="B115" s="679"/>
      <c r="C115" s="680" t="s">
        <v>872</v>
      </c>
      <c r="D115" s="680"/>
      <c r="E115" s="680"/>
      <c r="F115" s="680"/>
      <c r="G115" s="196"/>
      <c r="H115" s="197"/>
      <c r="I115" s="197"/>
      <c r="J115" s="218"/>
      <c r="K115" s="251"/>
      <c r="L115" s="313"/>
      <c r="M115" s="324"/>
      <c r="N115" s="324"/>
      <c r="O115" s="324"/>
      <c r="P115" s="234"/>
      <c r="Q115" s="324"/>
      <c r="R115" s="650"/>
    </row>
    <row r="116" spans="1:18" ht="13.5">
      <c r="A116" s="200" t="s">
        <v>453</v>
      </c>
      <c r="B116" s="679"/>
      <c r="C116" s="688" t="s">
        <v>452</v>
      </c>
      <c r="D116" s="680"/>
      <c r="E116" s="680"/>
      <c r="F116" s="680"/>
      <c r="G116" s="196"/>
      <c r="H116" s="197"/>
      <c r="I116" s="197"/>
      <c r="J116" s="218"/>
      <c r="K116" s="251"/>
      <c r="L116" s="313"/>
      <c r="M116" s="324"/>
      <c r="N116" s="324"/>
      <c r="O116" s="324"/>
      <c r="P116" s="234"/>
      <c r="Q116" s="324"/>
      <c r="R116" s="650"/>
    </row>
    <row r="117" spans="1:18" ht="13.5">
      <c r="A117" s="680" t="s">
        <v>873</v>
      </c>
      <c r="B117" s="679"/>
      <c r="C117" s="680"/>
      <c r="D117" s="680"/>
      <c r="E117" s="680"/>
      <c r="F117" s="680"/>
      <c r="G117" s="198">
        <v>1.5679</v>
      </c>
      <c r="H117" s="227">
        <v>1.5679</v>
      </c>
      <c r="I117" s="227">
        <v>1.5679</v>
      </c>
      <c r="J117" s="228">
        <f>(I117-H117)/I117</f>
        <v>0</v>
      </c>
      <c r="K117" s="235">
        <v>1.7592</v>
      </c>
      <c r="L117" s="351">
        <v>1.87</v>
      </c>
      <c r="M117" s="324">
        <f>(L117*$M$5)+L117</f>
        <v>1.905156</v>
      </c>
      <c r="N117" s="324">
        <v>2.0354686704000002</v>
      </c>
      <c r="O117" s="324">
        <f t="shared" si="7"/>
        <v>2.3015044256212804</v>
      </c>
      <c r="P117" s="234">
        <f>$P$9</f>
        <v>0.1307</v>
      </c>
      <c r="Q117" s="324">
        <f>(O117*$Q$9)+O117</f>
        <v>2.4879262840966043</v>
      </c>
      <c r="R117" s="650">
        <f>(Q117*$R$9)+Q117</f>
        <v>2.617796036126447</v>
      </c>
    </row>
    <row r="118" spans="1:18" ht="13.5">
      <c r="A118" s="680" t="s">
        <v>874</v>
      </c>
      <c r="B118" s="679"/>
      <c r="C118" s="680" t="s">
        <v>872</v>
      </c>
      <c r="D118" s="680"/>
      <c r="E118" s="680"/>
      <c r="F118" s="680"/>
      <c r="G118" s="196"/>
      <c r="H118" s="197"/>
      <c r="I118" s="197"/>
      <c r="J118" s="218"/>
      <c r="K118" s="251"/>
      <c r="L118" s="313"/>
      <c r="M118" s="324"/>
      <c r="N118" s="324"/>
      <c r="O118" s="324"/>
      <c r="P118" s="234"/>
      <c r="Q118" s="324"/>
      <c r="R118" s="650"/>
    </row>
    <row r="119" spans="1:18" ht="40.5">
      <c r="A119" s="550" t="s">
        <v>1212</v>
      </c>
      <c r="B119" s="679"/>
      <c r="C119" s="680"/>
      <c r="D119" s="680"/>
      <c r="E119" s="680"/>
      <c r="F119" s="680"/>
      <c r="G119" s="196"/>
      <c r="H119" s="197"/>
      <c r="I119" s="197"/>
      <c r="J119" s="218"/>
      <c r="K119" s="251"/>
      <c r="L119" s="313"/>
      <c r="M119" s="324"/>
      <c r="N119" s="324"/>
      <c r="O119" s="324"/>
      <c r="P119" s="234"/>
      <c r="Q119" s="324"/>
      <c r="R119" s="650"/>
    </row>
    <row r="120" spans="1:18" ht="13.5">
      <c r="A120" s="550" t="s">
        <v>1213</v>
      </c>
      <c r="B120" s="679"/>
      <c r="C120" s="680"/>
      <c r="D120" s="680"/>
      <c r="E120" s="680"/>
      <c r="F120" s="680"/>
      <c r="G120" s="196"/>
      <c r="H120" s="197"/>
      <c r="I120" s="197"/>
      <c r="J120" s="218"/>
      <c r="K120" s="251"/>
      <c r="L120" s="313"/>
      <c r="M120" s="324"/>
      <c r="N120" s="324"/>
      <c r="O120" s="324"/>
      <c r="P120" s="234"/>
      <c r="Q120" s="324"/>
      <c r="R120" s="650"/>
    </row>
    <row r="121" spans="1:18" ht="13.5">
      <c r="A121" s="550" t="s">
        <v>1214</v>
      </c>
      <c r="B121" s="679"/>
      <c r="C121" s="680"/>
      <c r="D121" s="680"/>
      <c r="E121" s="680"/>
      <c r="F121" s="680"/>
      <c r="G121" s="196"/>
      <c r="H121" s="197"/>
      <c r="I121" s="197"/>
      <c r="J121" s="218"/>
      <c r="K121" s="251"/>
      <c r="L121" s="313"/>
      <c r="M121" s="324"/>
      <c r="N121" s="324"/>
      <c r="O121" s="324"/>
      <c r="P121" s="234"/>
      <c r="Q121" s="324"/>
      <c r="R121" s="650"/>
    </row>
    <row r="122" spans="1:18" ht="13.5">
      <c r="A122" s="689"/>
      <c r="B122" s="679"/>
      <c r="C122" s="680"/>
      <c r="D122" s="680"/>
      <c r="E122" s="680"/>
      <c r="F122" s="680"/>
      <c r="G122" s="196"/>
      <c r="H122" s="197"/>
      <c r="I122" s="197"/>
      <c r="J122" s="218"/>
      <c r="K122" s="251"/>
      <c r="L122" s="313"/>
      <c r="M122" s="324"/>
      <c r="N122" s="324"/>
      <c r="O122" s="324"/>
      <c r="P122" s="234"/>
      <c r="Q122" s="324"/>
      <c r="R122" s="650"/>
    </row>
    <row r="123" spans="1:18" ht="13.5">
      <c r="A123" s="683" t="s">
        <v>303</v>
      </c>
      <c r="B123" s="684"/>
      <c r="C123" s="683"/>
      <c r="D123" s="683"/>
      <c r="E123" s="685"/>
      <c r="F123" s="683"/>
      <c r="G123" s="196"/>
      <c r="H123" s="197"/>
      <c r="I123" s="197"/>
      <c r="J123" s="218"/>
      <c r="K123" s="251"/>
      <c r="L123" s="313"/>
      <c r="M123" s="324"/>
      <c r="N123" s="324"/>
      <c r="O123" s="324"/>
      <c r="P123" s="234"/>
      <c r="Q123" s="324"/>
      <c r="R123" s="650"/>
    </row>
    <row r="124" spans="1:18" ht="13.5">
      <c r="A124" s="200" t="s">
        <v>304</v>
      </c>
      <c r="B124" s="204"/>
      <c r="C124" s="683"/>
      <c r="D124" s="683"/>
      <c r="E124" s="685"/>
      <c r="F124" s="683"/>
      <c r="G124" s="196"/>
      <c r="H124" s="197"/>
      <c r="I124" s="197"/>
      <c r="J124" s="218"/>
      <c r="K124" s="251"/>
      <c r="L124" s="313"/>
      <c r="M124" s="324"/>
      <c r="N124" s="324"/>
      <c r="O124" s="324"/>
      <c r="P124" s="234"/>
      <c r="Q124" s="324"/>
      <c r="R124" s="650"/>
    </row>
    <row r="125" spans="1:18" ht="13.5">
      <c r="A125" s="200"/>
      <c r="B125" s="204"/>
      <c r="C125" s="683"/>
      <c r="D125" s="683"/>
      <c r="E125" s="685"/>
      <c r="F125" s="683"/>
      <c r="G125" s="196"/>
      <c r="H125" s="197"/>
      <c r="I125" s="197"/>
      <c r="J125" s="218"/>
      <c r="K125" s="251"/>
      <c r="L125" s="313"/>
      <c r="M125" s="324"/>
      <c r="N125" s="324"/>
      <c r="O125" s="324"/>
      <c r="P125" s="234"/>
      <c r="Q125" s="417"/>
      <c r="R125" s="717"/>
    </row>
    <row r="126" spans="1:18" s="519" customFormat="1" ht="13.5">
      <c r="A126" s="686" t="s">
        <v>875</v>
      </c>
      <c r="B126" s="687" t="s">
        <v>305</v>
      </c>
      <c r="C126" s="686"/>
      <c r="D126" s="686"/>
      <c r="E126" s="686"/>
      <c r="F126" s="686"/>
      <c r="G126" s="518">
        <v>0.8281</v>
      </c>
      <c r="H126" s="542">
        <v>0.8281</v>
      </c>
      <c r="I126" s="542">
        <v>0.7841</v>
      </c>
      <c r="J126" s="543">
        <f>(I126-H126)/I126</f>
        <v>-0.05611529141691102</v>
      </c>
      <c r="K126" s="416">
        <v>0.7841</v>
      </c>
      <c r="L126" s="544">
        <f>K126*1.0764</f>
        <v>0.84400524</v>
      </c>
      <c r="M126" s="417">
        <f>(L126*$M$5)+L126</f>
        <v>0.859872538512</v>
      </c>
      <c r="N126" s="417">
        <v>0.9187</v>
      </c>
      <c r="O126" s="544">
        <v>1.11</v>
      </c>
      <c r="P126" s="939">
        <f>(O126-N126)/N126</f>
        <v>0.2082290192663548</v>
      </c>
      <c r="Q126" s="324">
        <f>(O126*10%)+O126</f>
        <v>1.221</v>
      </c>
      <c r="R126" s="650">
        <f>(Q126*10%)+Q126</f>
        <v>1.3431000000000002</v>
      </c>
    </row>
    <row r="127" spans="1:18" ht="13.5">
      <c r="A127" s="680" t="s">
        <v>876</v>
      </c>
      <c r="B127" s="679" t="s">
        <v>306</v>
      </c>
      <c r="C127" s="680"/>
      <c r="D127" s="680"/>
      <c r="E127" s="680"/>
      <c r="F127" s="680"/>
      <c r="G127" s="207">
        <v>435.92</v>
      </c>
      <c r="H127" s="230">
        <v>435.92</v>
      </c>
      <c r="I127" s="230">
        <v>435.92</v>
      </c>
      <c r="J127" s="228">
        <f>(I127-H127)/I127</f>
        <v>0</v>
      </c>
      <c r="K127" s="236">
        <v>489.1</v>
      </c>
      <c r="L127" s="313">
        <f>K127*1.0764</f>
        <v>526.4672400000001</v>
      </c>
      <c r="M127" s="324">
        <f>(L127*$M$5)+L127</f>
        <v>536.3648241120001</v>
      </c>
      <c r="N127" s="324">
        <v>573.0521780812609</v>
      </c>
      <c r="O127" s="324">
        <f>(N127*P127)+N127</f>
        <v>647.9500977564817</v>
      </c>
      <c r="P127" s="234">
        <f aca="true" t="shared" si="14" ref="P127:P157">$P$9</f>
        <v>0.1307</v>
      </c>
      <c r="Q127" s="324">
        <f>(O127*$Q$9)+O127</f>
        <v>700.4340556747567</v>
      </c>
      <c r="R127" s="650">
        <f>(Q127*$R$9)+Q127</f>
        <v>736.996713380979</v>
      </c>
    </row>
    <row r="128" spans="1:18" ht="14.25" customHeight="1">
      <c r="A128" s="680" t="s">
        <v>877</v>
      </c>
      <c r="B128" s="679" t="s">
        <v>307</v>
      </c>
      <c r="C128" s="680"/>
      <c r="D128" s="680"/>
      <c r="E128" s="680"/>
      <c r="F128" s="680"/>
      <c r="G128" s="213">
        <v>78.41</v>
      </c>
      <c r="H128" s="209">
        <v>78.48</v>
      </c>
      <c r="I128" s="209">
        <v>82.81</v>
      </c>
      <c r="J128" s="219">
        <f>(I128-H128)/I128</f>
        <v>0.05228837096968963</v>
      </c>
      <c r="K128" s="236">
        <v>92.91</v>
      </c>
      <c r="L128" s="313">
        <f>K128*1.0764</f>
        <v>100.008324</v>
      </c>
      <c r="M128" s="324">
        <f>(L128*$M$5)+L128</f>
        <v>101.8884804912</v>
      </c>
      <c r="N128" s="324">
        <v>108.85765255679809</v>
      </c>
      <c r="O128" s="324">
        <f t="shared" si="7"/>
        <v>123.0853477459716</v>
      </c>
      <c r="P128" s="234">
        <f t="shared" si="14"/>
        <v>0.1307</v>
      </c>
      <c r="Q128" s="324">
        <f>(O128*$Q$9)+O128</f>
        <v>133.0552609133953</v>
      </c>
      <c r="R128" s="650">
        <f>(Q128*$R$9)+Q128</f>
        <v>140.00074553307454</v>
      </c>
    </row>
    <row r="129" spans="1:18" ht="25.5" customHeight="1">
      <c r="A129" s="680" t="s">
        <v>878</v>
      </c>
      <c r="B129" s="679"/>
      <c r="C129" s="680"/>
      <c r="D129" s="680"/>
      <c r="E129" s="680"/>
      <c r="F129" s="680"/>
      <c r="G129" s="198">
        <v>0.1629</v>
      </c>
      <c r="H129" s="227">
        <v>0.1629</v>
      </c>
      <c r="I129" s="227">
        <v>0.1629</v>
      </c>
      <c r="J129" s="228">
        <f>(I129-H129)/I129</f>
        <v>0</v>
      </c>
      <c r="K129" s="235">
        <v>0.1828</v>
      </c>
      <c r="L129" s="300">
        <f>K129*1.0764</f>
        <v>0.19676591999999998</v>
      </c>
      <c r="M129" s="324">
        <f>(L129*$M$5)+L129</f>
        <v>0.20046511929599997</v>
      </c>
      <c r="N129" s="324">
        <v>0.21417693345584637</v>
      </c>
      <c r="O129" s="324">
        <f t="shared" si="7"/>
        <v>0.2421698586585255</v>
      </c>
      <c r="P129" s="234">
        <f t="shared" si="14"/>
        <v>0.1307</v>
      </c>
      <c r="Q129" s="324">
        <f>(O129*$Q$9)+O129</f>
        <v>0.26178561720986604</v>
      </c>
      <c r="R129" s="650">
        <f>(Q129*$R$9)+Q129</f>
        <v>0.27545082642822105</v>
      </c>
    </row>
    <row r="130" spans="1:18" ht="14.25" customHeight="1">
      <c r="A130" s="680"/>
      <c r="B130" s="679"/>
      <c r="C130" s="680"/>
      <c r="D130" s="680"/>
      <c r="E130" s="680"/>
      <c r="F130" s="680"/>
      <c r="G130" s="196"/>
      <c r="H130" s="197"/>
      <c r="I130" s="197"/>
      <c r="J130" s="219"/>
      <c r="K130" s="251"/>
      <c r="L130" s="313"/>
      <c r="M130" s="324"/>
      <c r="N130" s="324"/>
      <c r="O130" s="324"/>
      <c r="P130" s="234"/>
      <c r="Q130" s="324"/>
      <c r="R130" s="650"/>
    </row>
    <row r="131" spans="1:18" ht="13.5">
      <c r="A131" s="200" t="s">
        <v>308</v>
      </c>
      <c r="B131" s="204"/>
      <c r="C131" s="201"/>
      <c r="D131" s="200"/>
      <c r="E131" s="200"/>
      <c r="F131" s="200"/>
      <c r="G131" s="196"/>
      <c r="H131" s="197"/>
      <c r="I131" s="197"/>
      <c r="J131" s="219"/>
      <c r="K131" s="251"/>
      <c r="L131" s="313"/>
      <c r="M131" s="324"/>
      <c r="N131" s="324"/>
      <c r="O131" s="324"/>
      <c r="P131" s="234"/>
      <c r="Q131" s="324"/>
      <c r="R131" s="650"/>
    </row>
    <row r="132" spans="1:18" ht="14.25" customHeight="1">
      <c r="A132" s="200"/>
      <c r="B132" s="204"/>
      <c r="C132" s="201"/>
      <c r="D132" s="200"/>
      <c r="E132" s="200"/>
      <c r="F132" s="200"/>
      <c r="G132" s="196"/>
      <c r="H132" s="197"/>
      <c r="I132" s="197"/>
      <c r="J132" s="219"/>
      <c r="K132" s="251"/>
      <c r="L132" s="313"/>
      <c r="M132" s="324"/>
      <c r="N132" s="324"/>
      <c r="O132" s="324"/>
      <c r="P132" s="234"/>
      <c r="Q132" s="324"/>
      <c r="R132" s="650"/>
    </row>
    <row r="133" spans="1:18" ht="13.5">
      <c r="A133" s="210" t="s">
        <v>879</v>
      </c>
      <c r="B133" s="205"/>
      <c r="C133" s="201" t="s">
        <v>100</v>
      </c>
      <c r="D133" s="201" t="s">
        <v>309</v>
      </c>
      <c r="E133" s="201" t="s">
        <v>310</v>
      </c>
      <c r="F133" s="680"/>
      <c r="G133" s="196"/>
      <c r="H133" s="197"/>
      <c r="I133" s="197"/>
      <c r="J133" s="219"/>
      <c r="K133" s="251"/>
      <c r="L133" s="313"/>
      <c r="M133" s="324"/>
      <c r="N133" s="324"/>
      <c r="O133" s="324"/>
      <c r="P133" s="234"/>
      <c r="Q133" s="324"/>
      <c r="R133" s="650"/>
    </row>
    <row r="134" spans="1:18" ht="14.25" customHeight="1">
      <c r="A134" s="964" t="s">
        <v>0</v>
      </c>
      <c r="B134" s="212" t="s">
        <v>1</v>
      </c>
      <c r="C134" s="965" t="s">
        <v>2</v>
      </c>
      <c r="D134" s="962" t="s">
        <v>47</v>
      </c>
      <c r="E134" s="962" t="s">
        <v>47</v>
      </c>
      <c r="F134" s="211" t="s">
        <v>3</v>
      </c>
      <c r="G134" s="198">
        <v>4.1018</v>
      </c>
      <c r="H134" s="227">
        <v>4.1018</v>
      </c>
      <c r="I134" s="227">
        <v>4.1018</v>
      </c>
      <c r="J134" s="228">
        <f aca="true" t="shared" si="15" ref="J134:J142">(I134-H134)/I134</f>
        <v>0</v>
      </c>
      <c r="K134" s="235">
        <v>4.6022</v>
      </c>
      <c r="L134" s="300">
        <f>K134*1.0764</f>
        <v>4.95380808</v>
      </c>
      <c r="M134" s="324">
        <f aca="true" t="shared" si="16" ref="M134:M142">(L134*$M$5)+L134</f>
        <v>5.046939671904</v>
      </c>
      <c r="N134" s="324">
        <v>5.392150345462234</v>
      </c>
      <c r="O134" s="324">
        <f t="shared" si="7"/>
        <v>6.096904395614148</v>
      </c>
      <c r="P134" s="234">
        <f t="shared" si="14"/>
        <v>0.1307</v>
      </c>
      <c r="Q134" s="324">
        <f aca="true" t="shared" si="17" ref="Q134:Q142">(O134*$Q$9)+O134</f>
        <v>6.590753651658894</v>
      </c>
      <c r="R134" s="650">
        <f aca="true" t="shared" si="18" ref="R134:R142">(Q134*$R$9)+Q134</f>
        <v>6.934790992275489</v>
      </c>
    </row>
    <row r="135" spans="1:18" ht="13.5">
      <c r="A135" s="964"/>
      <c r="B135" s="212" t="s">
        <v>4</v>
      </c>
      <c r="C135" s="965"/>
      <c r="D135" s="962"/>
      <c r="E135" s="962"/>
      <c r="F135" s="211" t="s">
        <v>5</v>
      </c>
      <c r="G135" s="198">
        <v>1.1456</v>
      </c>
      <c r="H135" s="227">
        <v>1.1456</v>
      </c>
      <c r="I135" s="227">
        <v>1.1456</v>
      </c>
      <c r="J135" s="228">
        <f t="shared" si="15"/>
        <v>0</v>
      </c>
      <c r="K135" s="235">
        <v>1.2854</v>
      </c>
      <c r="L135" s="300">
        <f aca="true" t="shared" si="19" ref="L135:L140">K135*1.0764</f>
        <v>1.3836045600000002</v>
      </c>
      <c r="M135" s="324">
        <f t="shared" si="16"/>
        <v>1.409616325728</v>
      </c>
      <c r="N135" s="324">
        <v>1.5060340824077953</v>
      </c>
      <c r="O135" s="324">
        <f t="shared" si="7"/>
        <v>1.7028727369784942</v>
      </c>
      <c r="P135" s="234">
        <f t="shared" si="14"/>
        <v>0.1307</v>
      </c>
      <c r="Q135" s="324">
        <f t="shared" si="17"/>
        <v>1.8408054286737523</v>
      </c>
      <c r="R135" s="650">
        <f t="shared" si="18"/>
        <v>1.9368954720505223</v>
      </c>
    </row>
    <row r="136" spans="1:18" ht="14.25" customHeight="1">
      <c r="A136" s="964" t="s">
        <v>6</v>
      </c>
      <c r="B136" s="212" t="s">
        <v>7</v>
      </c>
      <c r="C136" s="965" t="s">
        <v>8</v>
      </c>
      <c r="D136" s="965" t="s">
        <v>9</v>
      </c>
      <c r="E136" s="962" t="s">
        <v>47</v>
      </c>
      <c r="F136" s="211" t="s">
        <v>3</v>
      </c>
      <c r="G136" s="198">
        <v>1.0665</v>
      </c>
      <c r="H136" s="227">
        <v>1.0665</v>
      </c>
      <c r="I136" s="227">
        <v>1.0665</v>
      </c>
      <c r="J136" s="228">
        <f t="shared" si="15"/>
        <v>0</v>
      </c>
      <c r="K136" s="235">
        <v>1.1966</v>
      </c>
      <c r="L136" s="300">
        <f t="shared" si="19"/>
        <v>1.28802024</v>
      </c>
      <c r="M136" s="324">
        <f t="shared" si="16"/>
        <v>1.3122350205120001</v>
      </c>
      <c r="N136" s="324">
        <v>1.401991895915021</v>
      </c>
      <c r="O136" s="324">
        <f t="shared" si="7"/>
        <v>1.5852322367111142</v>
      </c>
      <c r="P136" s="234">
        <f t="shared" si="14"/>
        <v>0.1307</v>
      </c>
      <c r="Q136" s="324">
        <f t="shared" si="17"/>
        <v>1.7136360478847146</v>
      </c>
      <c r="R136" s="650">
        <f t="shared" si="18"/>
        <v>1.8030878495842968</v>
      </c>
    </row>
    <row r="137" spans="1:18" ht="21" customHeight="1">
      <c r="A137" s="964"/>
      <c r="B137" s="212" t="s">
        <v>10</v>
      </c>
      <c r="C137" s="965"/>
      <c r="D137" s="965"/>
      <c r="E137" s="962"/>
      <c r="F137" s="211" t="s">
        <v>5</v>
      </c>
      <c r="G137" s="198">
        <v>0.7019</v>
      </c>
      <c r="H137" s="227">
        <v>0.7019</v>
      </c>
      <c r="I137" s="227">
        <v>0.7019</v>
      </c>
      <c r="J137" s="228">
        <f t="shared" si="15"/>
        <v>0</v>
      </c>
      <c r="K137" s="235">
        <v>0.7875</v>
      </c>
      <c r="L137" s="300">
        <f t="shared" si="19"/>
        <v>0.847665</v>
      </c>
      <c r="M137" s="324">
        <f t="shared" si="16"/>
        <v>0.863601102</v>
      </c>
      <c r="N137" s="324">
        <v>0.9226714173767999</v>
      </c>
      <c r="O137" s="324">
        <f t="shared" si="7"/>
        <v>1.0432645716279476</v>
      </c>
      <c r="P137" s="234">
        <f t="shared" si="14"/>
        <v>0.1307</v>
      </c>
      <c r="Q137" s="324">
        <f t="shared" si="17"/>
        <v>1.1277690019298114</v>
      </c>
      <c r="R137" s="650">
        <f t="shared" si="18"/>
        <v>1.1866385438305476</v>
      </c>
    </row>
    <row r="138" spans="1:18" ht="13.5">
      <c r="A138" s="964" t="s">
        <v>11</v>
      </c>
      <c r="B138" s="212" t="s">
        <v>12</v>
      </c>
      <c r="C138" s="962" t="s">
        <v>13</v>
      </c>
      <c r="D138" s="965" t="s">
        <v>14</v>
      </c>
      <c r="E138" s="962" t="s">
        <v>15</v>
      </c>
      <c r="F138" s="211" t="s">
        <v>3</v>
      </c>
      <c r="G138" s="198">
        <v>0.5696</v>
      </c>
      <c r="H138" s="227">
        <v>0.5696</v>
      </c>
      <c r="I138" s="227">
        <v>0.5696</v>
      </c>
      <c r="J138" s="228">
        <f t="shared" si="15"/>
        <v>0</v>
      </c>
      <c r="K138" s="235">
        <v>0.6391</v>
      </c>
      <c r="L138" s="300">
        <f t="shared" si="19"/>
        <v>0.68792724</v>
      </c>
      <c r="M138" s="324">
        <f t="shared" si="16"/>
        <v>0.7008602721120001</v>
      </c>
      <c r="N138" s="324">
        <v>0.7487991147244609</v>
      </c>
      <c r="O138" s="324">
        <f t="shared" si="7"/>
        <v>0.846667159018948</v>
      </c>
      <c r="P138" s="234">
        <f t="shared" si="14"/>
        <v>0.1307</v>
      </c>
      <c r="Q138" s="324">
        <f t="shared" si="17"/>
        <v>0.9152471988994828</v>
      </c>
      <c r="R138" s="650">
        <f t="shared" si="18"/>
        <v>0.9630231026820358</v>
      </c>
    </row>
    <row r="139" spans="1:18" ht="13.5">
      <c r="A139" s="964"/>
      <c r="B139" s="212" t="s">
        <v>16</v>
      </c>
      <c r="C139" s="962"/>
      <c r="D139" s="965"/>
      <c r="E139" s="962"/>
      <c r="F139" s="211" t="s">
        <v>5</v>
      </c>
      <c r="G139" s="198">
        <v>0.4908</v>
      </c>
      <c r="H139" s="227">
        <v>0.4908</v>
      </c>
      <c r="I139" s="227">
        <v>0.4908</v>
      </c>
      <c r="J139" s="228">
        <f t="shared" si="15"/>
        <v>0</v>
      </c>
      <c r="K139" s="235">
        <v>0.5507</v>
      </c>
      <c r="L139" s="300">
        <f t="shared" si="19"/>
        <v>0.59277348</v>
      </c>
      <c r="M139" s="324">
        <f t="shared" si="16"/>
        <v>0.603917621424</v>
      </c>
      <c r="N139" s="324">
        <v>0.6452255867294016</v>
      </c>
      <c r="O139" s="324">
        <f t="shared" si="7"/>
        <v>0.7295565709149343</v>
      </c>
      <c r="P139" s="234">
        <f t="shared" si="14"/>
        <v>0.1307</v>
      </c>
      <c r="Q139" s="324">
        <f t="shared" si="17"/>
        <v>0.788650653159044</v>
      </c>
      <c r="R139" s="650">
        <f t="shared" si="18"/>
        <v>0.8298182172539461</v>
      </c>
    </row>
    <row r="140" spans="1:18" ht="13.5">
      <c r="A140" s="680" t="s">
        <v>880</v>
      </c>
      <c r="B140" s="679" t="s">
        <v>454</v>
      </c>
      <c r="C140" s="680"/>
      <c r="D140" s="680"/>
      <c r="E140" s="680"/>
      <c r="F140" s="680"/>
      <c r="G140" s="207">
        <v>422.23</v>
      </c>
      <c r="H140" s="230">
        <v>422.23</v>
      </c>
      <c r="I140" s="230">
        <v>422.23</v>
      </c>
      <c r="J140" s="228">
        <f t="shared" si="15"/>
        <v>0</v>
      </c>
      <c r="K140" s="236">
        <v>473.74</v>
      </c>
      <c r="L140" s="313">
        <f t="shared" si="19"/>
        <v>509.933736</v>
      </c>
      <c r="M140" s="324">
        <f t="shared" si="16"/>
        <v>519.5204902368</v>
      </c>
      <c r="N140" s="324">
        <v>555.0556917689971</v>
      </c>
      <c r="O140" s="324">
        <f t="shared" si="7"/>
        <v>627.6014706832051</v>
      </c>
      <c r="P140" s="234">
        <f t="shared" si="14"/>
        <v>0.1307</v>
      </c>
      <c r="Q140" s="324">
        <f t="shared" si="17"/>
        <v>678.4371898085448</v>
      </c>
      <c r="R140" s="650">
        <f t="shared" si="18"/>
        <v>713.8516111165508</v>
      </c>
    </row>
    <row r="141" spans="1:18" ht="13.5">
      <c r="A141" s="680" t="s">
        <v>881</v>
      </c>
      <c r="B141" s="679" t="s">
        <v>455</v>
      </c>
      <c r="C141" s="680"/>
      <c r="D141" s="680"/>
      <c r="E141" s="680"/>
      <c r="F141" s="680"/>
      <c r="G141" s="207">
        <v>78.47</v>
      </c>
      <c r="H141" s="230">
        <v>78.47</v>
      </c>
      <c r="I141" s="230">
        <v>78.47</v>
      </c>
      <c r="J141" s="228">
        <f t="shared" si="15"/>
        <v>0</v>
      </c>
      <c r="K141" s="236">
        <v>88.04</v>
      </c>
      <c r="L141" s="313">
        <f>K141*1.0764</f>
        <v>94.76625600000001</v>
      </c>
      <c r="M141" s="324">
        <f t="shared" si="16"/>
        <v>96.54786161280002</v>
      </c>
      <c r="N141" s="324">
        <v>103.15173534711555</v>
      </c>
      <c r="O141" s="324">
        <f t="shared" si="7"/>
        <v>116.63366715698355</v>
      </c>
      <c r="P141" s="234">
        <f t="shared" si="14"/>
        <v>0.1307</v>
      </c>
      <c r="Q141" s="324">
        <f t="shared" si="17"/>
        <v>126.08099419669922</v>
      </c>
      <c r="R141" s="650">
        <f t="shared" si="18"/>
        <v>132.66242209376693</v>
      </c>
    </row>
    <row r="142" spans="1:18" ht="13.5">
      <c r="A142" s="676" t="s">
        <v>882</v>
      </c>
      <c r="B142" s="675"/>
      <c r="C142" s="676"/>
      <c r="D142" s="676"/>
      <c r="E142" s="676"/>
      <c r="F142" s="676"/>
      <c r="G142" s="198">
        <v>0.1629</v>
      </c>
      <c r="H142" s="227">
        <v>0.1629</v>
      </c>
      <c r="I142" s="227">
        <v>0.1629</v>
      </c>
      <c r="J142" s="228">
        <f t="shared" si="15"/>
        <v>0</v>
      </c>
      <c r="K142" s="235">
        <v>0.1828</v>
      </c>
      <c r="L142" s="300">
        <f>K142*1.0764</f>
        <v>0.19676591999999998</v>
      </c>
      <c r="M142" s="324">
        <f t="shared" si="16"/>
        <v>0.20046511929599997</v>
      </c>
      <c r="N142" s="324">
        <v>0.21417693345584637</v>
      </c>
      <c r="O142" s="324">
        <f>(N142*P142)+N142</f>
        <v>0.2421698586585255</v>
      </c>
      <c r="P142" s="234">
        <f t="shared" si="14"/>
        <v>0.1307</v>
      </c>
      <c r="Q142" s="324">
        <f t="shared" si="17"/>
        <v>0.26178561720986604</v>
      </c>
      <c r="R142" s="650">
        <f t="shared" si="18"/>
        <v>0.27545082642822105</v>
      </c>
    </row>
    <row r="143" spans="1:18" ht="13.5">
      <c r="A143" s="548" t="s">
        <v>1237</v>
      </c>
      <c r="B143" s="679"/>
      <c r="C143" s="680"/>
      <c r="D143" s="680"/>
      <c r="E143" s="680"/>
      <c r="F143" s="680"/>
      <c r="G143" s="196"/>
      <c r="H143" s="197"/>
      <c r="I143" s="197"/>
      <c r="J143" s="218"/>
      <c r="K143" s="251"/>
      <c r="L143" s="313"/>
      <c r="M143" s="324"/>
      <c r="N143" s="324"/>
      <c r="O143" s="324"/>
      <c r="P143" s="234"/>
      <c r="Q143" s="324"/>
      <c r="R143" s="650"/>
    </row>
    <row r="144" spans="1:18" ht="13.5">
      <c r="A144" s="549" t="s">
        <v>1236</v>
      </c>
      <c r="B144" s="679"/>
      <c r="C144" s="680"/>
      <c r="D144" s="680"/>
      <c r="E144" s="680"/>
      <c r="F144" s="680"/>
      <c r="G144" s="196"/>
      <c r="H144" s="197"/>
      <c r="I144" s="197"/>
      <c r="J144" s="218"/>
      <c r="K144" s="251"/>
      <c r="L144" s="313"/>
      <c r="M144" s="324"/>
      <c r="N144" s="324"/>
      <c r="O144" s="324"/>
      <c r="P144" s="234"/>
      <c r="Q144" s="324"/>
      <c r="R144" s="650"/>
    </row>
    <row r="145" spans="1:18" ht="13.5">
      <c r="A145" s="549"/>
      <c r="B145" s="679"/>
      <c r="C145" s="680"/>
      <c r="D145" s="680"/>
      <c r="E145" s="680"/>
      <c r="F145" s="680"/>
      <c r="G145" s="196"/>
      <c r="H145" s="197"/>
      <c r="I145" s="197"/>
      <c r="J145" s="218"/>
      <c r="K145" s="251"/>
      <c r="L145" s="313"/>
      <c r="M145" s="324"/>
      <c r="N145" s="324"/>
      <c r="O145" s="324"/>
      <c r="P145" s="234"/>
      <c r="Q145" s="324"/>
      <c r="R145" s="650"/>
    </row>
    <row r="146" spans="1:18" ht="13.5">
      <c r="A146" s="683" t="s">
        <v>17</v>
      </c>
      <c r="B146" s="684"/>
      <c r="C146" s="683"/>
      <c r="D146" s="683"/>
      <c r="E146" s="685"/>
      <c r="F146" s="683"/>
      <c r="G146" s="196"/>
      <c r="H146" s="197"/>
      <c r="I146" s="197"/>
      <c r="J146" s="218"/>
      <c r="K146" s="251"/>
      <c r="L146" s="313"/>
      <c r="M146" s="324"/>
      <c r="N146" s="324"/>
      <c r="O146" s="324"/>
      <c r="P146" s="234"/>
      <c r="Q146" s="324"/>
      <c r="R146" s="650"/>
    </row>
    <row r="147" spans="1:18" ht="13.5">
      <c r="A147" s="200" t="s">
        <v>18</v>
      </c>
      <c r="B147" s="204"/>
      <c r="C147" s="683"/>
      <c r="D147" s="683"/>
      <c r="E147" s="685"/>
      <c r="F147" s="683"/>
      <c r="G147" s="196"/>
      <c r="H147" s="197"/>
      <c r="I147" s="197"/>
      <c r="J147" s="218"/>
      <c r="K147" s="251"/>
      <c r="L147" s="313"/>
      <c r="M147" s="324"/>
      <c r="N147" s="324"/>
      <c r="O147" s="324"/>
      <c r="P147" s="234"/>
      <c r="Q147" s="324"/>
      <c r="R147" s="650"/>
    </row>
    <row r="148" spans="1:18" ht="14.25" customHeight="1">
      <c r="A148" s="200"/>
      <c r="B148" s="204"/>
      <c r="C148" s="683"/>
      <c r="D148" s="683"/>
      <c r="E148" s="685"/>
      <c r="F148" s="683"/>
      <c r="G148" s="196"/>
      <c r="H148" s="197"/>
      <c r="I148" s="197"/>
      <c r="J148" s="218"/>
      <c r="K148" s="251"/>
      <c r="L148" s="313"/>
      <c r="M148" s="324"/>
      <c r="N148" s="324"/>
      <c r="O148" s="324"/>
      <c r="P148" s="234"/>
      <c r="Q148" s="417"/>
      <c r="R148" s="717"/>
    </row>
    <row r="149" spans="1:18" s="519" customFormat="1" ht="13.5">
      <c r="A149" s="686" t="s">
        <v>883</v>
      </c>
      <c r="B149" s="687" t="s">
        <v>334</v>
      </c>
      <c r="C149" s="686"/>
      <c r="D149" s="686"/>
      <c r="E149" s="686"/>
      <c r="F149" s="686"/>
      <c r="G149" s="545">
        <v>0.8076</v>
      </c>
      <c r="H149" s="546">
        <v>0.8076</v>
      </c>
      <c r="I149" s="546">
        <v>0.8076</v>
      </c>
      <c r="J149" s="543">
        <f>(I149-H149)/I149</f>
        <v>0</v>
      </c>
      <c r="K149" s="416">
        <v>0.9061</v>
      </c>
      <c r="L149" s="544">
        <f>K149*1.0764</f>
        <v>0.97532604</v>
      </c>
      <c r="M149" s="417">
        <f>(L149*$M$5)+L149</f>
        <v>0.993662169552</v>
      </c>
      <c r="N149" s="417">
        <v>1.0616</v>
      </c>
      <c r="O149" s="544">
        <f>(N149*P149)+N149</f>
        <v>1.125296</v>
      </c>
      <c r="P149" s="939">
        <v>0.06</v>
      </c>
      <c r="Q149" s="417">
        <f>(O149*10%)+O149</f>
        <v>1.2378256</v>
      </c>
      <c r="R149" s="717">
        <f>(Q149*10%)+Q149</f>
        <v>1.36160816</v>
      </c>
    </row>
    <row r="150" spans="1:18" ht="14.25" customHeight="1">
      <c r="A150" s="680" t="s">
        <v>884</v>
      </c>
      <c r="B150" s="679" t="s">
        <v>335</v>
      </c>
      <c r="C150" s="680"/>
      <c r="D150" s="680"/>
      <c r="E150" s="680"/>
      <c r="F150" s="680"/>
      <c r="G150" s="207">
        <v>4805.98</v>
      </c>
      <c r="H150" s="230">
        <v>4805.98</v>
      </c>
      <c r="I150" s="230">
        <v>4805.98</v>
      </c>
      <c r="J150" s="228">
        <f>(I150-H150)/I150</f>
        <v>0</v>
      </c>
      <c r="K150" s="236">
        <v>5392.31</v>
      </c>
      <c r="L150" s="300">
        <f>K150*1.0764</f>
        <v>5804.282484</v>
      </c>
      <c r="M150" s="324">
        <f>(L150*$M$5)+L150</f>
        <v>5913.4029946992005</v>
      </c>
      <c r="N150" s="324">
        <v>6317.879759536626</v>
      </c>
      <c r="O150" s="324">
        <f aca="true" t="shared" si="20" ref="O150:O188">(N150*P150)+N150</f>
        <v>7143.6266441080625</v>
      </c>
      <c r="P150" s="234">
        <f t="shared" si="14"/>
        <v>0.1307</v>
      </c>
      <c r="Q150" s="324">
        <f>(O150*$Q$9)+O150</f>
        <v>7722.2604022808155</v>
      </c>
      <c r="R150" s="650">
        <f>(Q150*$R$9)+Q150</f>
        <v>8125.362395279874</v>
      </c>
    </row>
    <row r="151" spans="1:18" ht="20.25" customHeight="1">
      <c r="A151" s="680" t="s">
        <v>885</v>
      </c>
      <c r="B151" s="679" t="s">
        <v>336</v>
      </c>
      <c r="C151" s="680"/>
      <c r="D151" s="680"/>
      <c r="E151" s="680"/>
      <c r="F151" s="680"/>
      <c r="G151" s="207">
        <v>80.76</v>
      </c>
      <c r="H151" s="230">
        <v>80.76</v>
      </c>
      <c r="I151" s="230">
        <v>80.76</v>
      </c>
      <c r="J151" s="228">
        <f>(I151-H151)/I151</f>
        <v>0</v>
      </c>
      <c r="K151" s="236">
        <v>90.61</v>
      </c>
      <c r="L151" s="313">
        <f>K151*1.0764</f>
        <v>97.532604</v>
      </c>
      <c r="M151" s="324">
        <f>(L151*$M$5)+L151</f>
        <v>99.3662169552</v>
      </c>
      <c r="N151" s="324">
        <v>106.16286619493569</v>
      </c>
      <c r="O151" s="324">
        <f t="shared" si="20"/>
        <v>120.03835280661379</v>
      </c>
      <c r="P151" s="234">
        <f t="shared" si="14"/>
        <v>0.1307</v>
      </c>
      <c r="Q151" s="324">
        <f>(O151*$Q$9)+O151</f>
        <v>129.7614593839495</v>
      </c>
      <c r="R151" s="650">
        <f>(Q151*$R$9)+Q151</f>
        <v>136.53500756379165</v>
      </c>
    </row>
    <row r="152" spans="1:18" ht="14.25" customHeight="1">
      <c r="A152" s="676" t="s">
        <v>886</v>
      </c>
      <c r="B152" s="679"/>
      <c r="C152" s="680"/>
      <c r="D152" s="680"/>
      <c r="E152" s="680"/>
      <c r="F152" s="680"/>
      <c r="G152" s="198">
        <v>0.1629</v>
      </c>
      <c r="H152" s="227">
        <v>0.1629</v>
      </c>
      <c r="I152" s="232">
        <v>0.1629</v>
      </c>
      <c r="J152" s="228">
        <f>(I152-H152)/I152</f>
        <v>0</v>
      </c>
      <c r="K152" s="235">
        <v>0.1828</v>
      </c>
      <c r="L152" s="300">
        <f>K152*1.0764</f>
        <v>0.19676591999999998</v>
      </c>
      <c r="M152" s="324">
        <f>(L152*$M$5)+L152</f>
        <v>0.20046511929599997</v>
      </c>
      <c r="N152" s="324">
        <v>0.21417693345584637</v>
      </c>
      <c r="O152" s="324">
        <f t="shared" si="20"/>
        <v>0.2421698586585255</v>
      </c>
      <c r="P152" s="234">
        <f t="shared" si="14"/>
        <v>0.1307</v>
      </c>
      <c r="Q152" s="324">
        <f>(O152*$Q$9)+O152</f>
        <v>0.26178561720986604</v>
      </c>
      <c r="R152" s="650">
        <f>(Q152*$R$9)+Q152</f>
        <v>0.27545082642822105</v>
      </c>
    </row>
    <row r="153" spans="1:18" ht="13.5">
      <c r="A153" s="200" t="s">
        <v>19</v>
      </c>
      <c r="B153" s="204"/>
      <c r="C153" s="201"/>
      <c r="D153" s="201"/>
      <c r="E153" s="201"/>
      <c r="F153" s="201"/>
      <c r="G153" s="196"/>
      <c r="H153" s="197"/>
      <c r="I153" s="197"/>
      <c r="J153" s="218"/>
      <c r="K153" s="251"/>
      <c r="L153" s="313"/>
      <c r="M153" s="324"/>
      <c r="N153" s="324"/>
      <c r="O153" s="324"/>
      <c r="P153" s="234"/>
      <c r="Q153" s="324"/>
      <c r="R153" s="650"/>
    </row>
    <row r="154" spans="1:18" ht="14.25" customHeight="1">
      <c r="A154" s="200"/>
      <c r="B154" s="204"/>
      <c r="C154" s="201"/>
      <c r="D154" s="201"/>
      <c r="E154" s="201"/>
      <c r="F154" s="201"/>
      <c r="G154" s="196"/>
      <c r="H154" s="197"/>
      <c r="I154" s="197"/>
      <c r="J154" s="218"/>
      <c r="K154" s="251"/>
      <c r="L154" s="313"/>
      <c r="M154" s="324"/>
      <c r="N154" s="324"/>
      <c r="O154" s="324"/>
      <c r="P154" s="234"/>
      <c r="Q154" s="324"/>
      <c r="R154" s="650"/>
    </row>
    <row r="155" spans="1:18" ht="13.5">
      <c r="A155" s="210" t="s">
        <v>887</v>
      </c>
      <c r="B155" s="205"/>
      <c r="C155" s="201" t="s">
        <v>100</v>
      </c>
      <c r="D155" s="201" t="s">
        <v>309</v>
      </c>
      <c r="E155" s="201" t="s">
        <v>310</v>
      </c>
      <c r="F155" s="680"/>
      <c r="G155" s="196"/>
      <c r="H155" s="197"/>
      <c r="I155" s="197"/>
      <c r="J155" s="218"/>
      <c r="K155" s="251"/>
      <c r="L155" s="313"/>
      <c r="M155" s="324"/>
      <c r="N155" s="324"/>
      <c r="O155" s="324"/>
      <c r="P155" s="234"/>
      <c r="Q155" s="324"/>
      <c r="R155" s="650"/>
    </row>
    <row r="156" spans="1:18" ht="20.25" customHeight="1">
      <c r="A156" s="964" t="s">
        <v>0</v>
      </c>
      <c r="B156" s="212" t="s">
        <v>337</v>
      </c>
      <c r="C156" s="965" t="s">
        <v>2</v>
      </c>
      <c r="D156" s="962" t="s">
        <v>47</v>
      </c>
      <c r="E156" s="962" t="s">
        <v>47</v>
      </c>
      <c r="F156" s="211" t="s">
        <v>3</v>
      </c>
      <c r="G156" s="198">
        <v>4</v>
      </c>
      <c r="H156" s="227">
        <v>4</v>
      </c>
      <c r="I156" s="227">
        <v>4</v>
      </c>
      <c r="J156" s="228">
        <f aca="true" t="shared" si="21" ref="J156:J164">(I156-H156)/I156</f>
        <v>0</v>
      </c>
      <c r="K156" s="235">
        <v>4.488</v>
      </c>
      <c r="L156" s="300">
        <f>K156*1.0764</f>
        <v>4.830883200000001</v>
      </c>
      <c r="M156" s="324">
        <f aca="true" t="shared" si="22" ref="M156:M164">(L156*$M$5)+L156</f>
        <v>4.921703804160001</v>
      </c>
      <c r="N156" s="324">
        <v>5.258348344364545</v>
      </c>
      <c r="O156" s="324">
        <f t="shared" si="20"/>
        <v>5.9456144729729905</v>
      </c>
      <c r="P156" s="234">
        <f t="shared" si="14"/>
        <v>0.1307</v>
      </c>
      <c r="Q156" s="324">
        <f aca="true" t="shared" si="23" ref="Q156:Q164">(O156*$Q$9)+O156</f>
        <v>6.4272092452838026</v>
      </c>
      <c r="R156" s="650">
        <f aca="true" t="shared" si="24" ref="R156:R164">(Q156*$R$9)+Q156</f>
        <v>6.762709567887617</v>
      </c>
    </row>
    <row r="157" spans="1:18" ht="18" customHeight="1">
      <c r="A157" s="964"/>
      <c r="B157" s="212" t="s">
        <v>338</v>
      </c>
      <c r="C157" s="965"/>
      <c r="D157" s="962"/>
      <c r="E157" s="962"/>
      <c r="F157" s="211" t="s">
        <v>5</v>
      </c>
      <c r="G157" s="198">
        <v>1.1173</v>
      </c>
      <c r="H157" s="227">
        <v>1.1173</v>
      </c>
      <c r="I157" s="227">
        <v>1.1173</v>
      </c>
      <c r="J157" s="228">
        <f t="shared" si="21"/>
        <v>0</v>
      </c>
      <c r="K157" s="235">
        <v>1.2536</v>
      </c>
      <c r="L157" s="300">
        <f aca="true" t="shared" si="25" ref="L157:L162">K157*1.0764</f>
        <v>1.34937504</v>
      </c>
      <c r="M157" s="324">
        <f t="shared" si="22"/>
        <v>1.3747432907519999</v>
      </c>
      <c r="N157" s="324">
        <v>1.4687757318394365</v>
      </c>
      <c r="O157" s="324">
        <f t="shared" si="20"/>
        <v>1.660744719990851</v>
      </c>
      <c r="P157" s="234">
        <f t="shared" si="14"/>
        <v>0.1307</v>
      </c>
      <c r="Q157" s="324">
        <f t="shared" si="23"/>
        <v>1.7952650423101097</v>
      </c>
      <c r="R157" s="650">
        <f t="shared" si="24"/>
        <v>1.8889778775186974</v>
      </c>
    </row>
    <row r="158" spans="1:18" ht="20.25" customHeight="1">
      <c r="A158" s="964" t="s">
        <v>6</v>
      </c>
      <c r="B158" s="212" t="s">
        <v>339</v>
      </c>
      <c r="C158" s="965" t="s">
        <v>8</v>
      </c>
      <c r="D158" s="965" t="s">
        <v>9</v>
      </c>
      <c r="E158" s="962" t="s">
        <v>47</v>
      </c>
      <c r="F158" s="211" t="s">
        <v>3</v>
      </c>
      <c r="G158" s="198">
        <v>1.04</v>
      </c>
      <c r="H158" s="227">
        <v>1.04</v>
      </c>
      <c r="I158" s="227">
        <v>1.04</v>
      </c>
      <c r="J158" s="228">
        <f t="shared" si="21"/>
        <v>0</v>
      </c>
      <c r="K158" s="235">
        <v>1.1669</v>
      </c>
      <c r="L158" s="300">
        <f t="shared" si="25"/>
        <v>1.2560511600000002</v>
      </c>
      <c r="M158" s="324">
        <f t="shared" si="22"/>
        <v>1.279664921808</v>
      </c>
      <c r="N158" s="324">
        <v>1.3671940024596672</v>
      </c>
      <c r="O158" s="324">
        <f t="shared" si="20"/>
        <v>1.5458862585811457</v>
      </c>
      <c r="P158" s="234">
        <f aca="true" t="shared" si="26" ref="P158:P188">$P$9</f>
        <v>0.1307</v>
      </c>
      <c r="Q158" s="324">
        <f t="shared" si="23"/>
        <v>1.6711030455262186</v>
      </c>
      <c r="R158" s="650">
        <f t="shared" si="24"/>
        <v>1.7583346245026872</v>
      </c>
    </row>
    <row r="159" spans="1:18" ht="16.5" customHeight="1">
      <c r="A159" s="964"/>
      <c r="B159" s="212" t="s">
        <v>340</v>
      </c>
      <c r="C159" s="965"/>
      <c r="D159" s="965"/>
      <c r="E159" s="962"/>
      <c r="F159" s="211" t="s">
        <v>5</v>
      </c>
      <c r="G159" s="198">
        <v>0.6844</v>
      </c>
      <c r="H159" s="227">
        <v>0.6844</v>
      </c>
      <c r="I159" s="227">
        <v>0.6844</v>
      </c>
      <c r="J159" s="228">
        <f t="shared" si="21"/>
        <v>0</v>
      </c>
      <c r="K159" s="235">
        <v>0.7679</v>
      </c>
      <c r="L159" s="300">
        <f t="shared" si="25"/>
        <v>0.8265675600000001</v>
      </c>
      <c r="M159" s="324">
        <f t="shared" si="22"/>
        <v>0.8421070301280001</v>
      </c>
      <c r="N159" s="324">
        <v>0.8997071509887553</v>
      </c>
      <c r="O159" s="324">
        <f t="shared" si="20"/>
        <v>1.0172988756229857</v>
      </c>
      <c r="P159" s="234">
        <f t="shared" si="26"/>
        <v>0.1307</v>
      </c>
      <c r="Q159" s="324">
        <f t="shared" si="23"/>
        <v>1.0997000845484475</v>
      </c>
      <c r="R159" s="650">
        <f t="shared" si="24"/>
        <v>1.1571044289618764</v>
      </c>
    </row>
    <row r="160" spans="1:18" ht="13.5">
      <c r="A160" s="964" t="s">
        <v>11</v>
      </c>
      <c r="B160" s="212" t="s">
        <v>341</v>
      </c>
      <c r="C160" s="962" t="s">
        <v>13</v>
      </c>
      <c r="D160" s="965" t="s">
        <v>14</v>
      </c>
      <c r="E160" s="962" t="s">
        <v>15</v>
      </c>
      <c r="F160" s="211" t="s">
        <v>3</v>
      </c>
      <c r="G160" s="198">
        <v>0.5555</v>
      </c>
      <c r="H160" s="227">
        <v>0.5555</v>
      </c>
      <c r="I160" s="227">
        <v>0.5555</v>
      </c>
      <c r="J160" s="228">
        <f t="shared" si="21"/>
        <v>0</v>
      </c>
      <c r="K160" s="235">
        <v>0.6233</v>
      </c>
      <c r="L160" s="300">
        <f t="shared" si="25"/>
        <v>0.67092012</v>
      </c>
      <c r="M160" s="324">
        <f t="shared" si="22"/>
        <v>0.683533418256</v>
      </c>
      <c r="N160" s="324">
        <v>0.7302871040647104</v>
      </c>
      <c r="O160" s="324">
        <f t="shared" si="20"/>
        <v>0.825735628565968</v>
      </c>
      <c r="P160" s="234">
        <f t="shared" si="26"/>
        <v>0.1307</v>
      </c>
      <c r="Q160" s="324">
        <f t="shared" si="23"/>
        <v>0.8926202144798114</v>
      </c>
      <c r="R160" s="650">
        <f t="shared" si="24"/>
        <v>0.9392149896756576</v>
      </c>
    </row>
    <row r="161" spans="1:18" ht="13.5">
      <c r="A161" s="964"/>
      <c r="B161" s="212" t="s">
        <v>342</v>
      </c>
      <c r="C161" s="962"/>
      <c r="D161" s="965"/>
      <c r="E161" s="962"/>
      <c r="F161" s="211" t="s">
        <v>5</v>
      </c>
      <c r="G161" s="198">
        <v>0.4786</v>
      </c>
      <c r="H161" s="227">
        <v>0.4786</v>
      </c>
      <c r="I161" s="227">
        <v>0.4786</v>
      </c>
      <c r="J161" s="228">
        <f t="shared" si="21"/>
        <v>0</v>
      </c>
      <c r="K161" s="235">
        <v>0.537</v>
      </c>
      <c r="L161" s="300">
        <f t="shared" si="25"/>
        <v>0.5780268000000001</v>
      </c>
      <c r="M161" s="324">
        <f t="shared" si="22"/>
        <v>0.5888937038400001</v>
      </c>
      <c r="N161" s="324">
        <v>0.6291740331826561</v>
      </c>
      <c r="O161" s="324">
        <f t="shared" si="20"/>
        <v>0.7114070793196292</v>
      </c>
      <c r="P161" s="234">
        <f t="shared" si="26"/>
        <v>0.1307</v>
      </c>
      <c r="Q161" s="324">
        <f t="shared" si="23"/>
        <v>0.7690310527445192</v>
      </c>
      <c r="R161" s="650">
        <f t="shared" si="24"/>
        <v>0.8091744736977832</v>
      </c>
    </row>
    <row r="162" spans="1:18" ht="13.5">
      <c r="A162" s="680" t="s">
        <v>888</v>
      </c>
      <c r="B162" s="679" t="s">
        <v>343</v>
      </c>
      <c r="C162" s="680"/>
      <c r="D162" s="680"/>
      <c r="E162" s="680"/>
      <c r="F162" s="680"/>
      <c r="G162" s="207">
        <v>4743.87</v>
      </c>
      <c r="H162" s="230">
        <v>4743.87</v>
      </c>
      <c r="I162" s="230">
        <v>4743.87</v>
      </c>
      <c r="J162" s="228">
        <f t="shared" si="21"/>
        <v>0</v>
      </c>
      <c r="K162" s="236">
        <v>5322.62</v>
      </c>
      <c r="L162" s="313">
        <f t="shared" si="25"/>
        <v>5729.268168</v>
      </c>
      <c r="M162" s="324">
        <f t="shared" si="22"/>
        <v>5836.9784095584</v>
      </c>
      <c r="N162" s="324">
        <v>6236.227732772195</v>
      </c>
      <c r="O162" s="324">
        <f t="shared" si="20"/>
        <v>7051.302697445521</v>
      </c>
      <c r="P162" s="234">
        <f t="shared" si="26"/>
        <v>0.1307</v>
      </c>
      <c r="Q162" s="324">
        <f t="shared" si="23"/>
        <v>7622.458215938608</v>
      </c>
      <c r="R162" s="650">
        <f t="shared" si="24"/>
        <v>8020.350534810604</v>
      </c>
    </row>
    <row r="163" spans="1:18" ht="13.5">
      <c r="A163" s="680" t="s">
        <v>889</v>
      </c>
      <c r="B163" s="679" t="s">
        <v>344</v>
      </c>
      <c r="C163" s="680"/>
      <c r="D163" s="680"/>
      <c r="E163" s="680"/>
      <c r="F163" s="680"/>
      <c r="G163" s="207">
        <v>82.29</v>
      </c>
      <c r="H163" s="230">
        <v>82.29</v>
      </c>
      <c r="I163" s="230">
        <v>82.29</v>
      </c>
      <c r="J163" s="228">
        <f t="shared" si="21"/>
        <v>0</v>
      </c>
      <c r="K163" s="236">
        <v>92.33</v>
      </c>
      <c r="L163" s="313">
        <f>K163*1.0764</f>
        <v>99.384012</v>
      </c>
      <c r="M163" s="324">
        <f t="shared" si="22"/>
        <v>101.2524314256</v>
      </c>
      <c r="N163" s="324">
        <v>108.17809773511104</v>
      </c>
      <c r="O163" s="324">
        <f t="shared" si="20"/>
        <v>122.31697510909005</v>
      </c>
      <c r="P163" s="234">
        <f t="shared" si="26"/>
        <v>0.1307</v>
      </c>
      <c r="Q163" s="324">
        <f t="shared" si="23"/>
        <v>132.22465009292634</v>
      </c>
      <c r="R163" s="650">
        <f t="shared" si="24"/>
        <v>139.1267768277771</v>
      </c>
    </row>
    <row r="164" spans="1:18" ht="13.5">
      <c r="A164" s="676" t="s">
        <v>890</v>
      </c>
      <c r="B164" s="679"/>
      <c r="C164" s="680"/>
      <c r="D164" s="680"/>
      <c r="E164" s="680"/>
      <c r="F164" s="680"/>
      <c r="G164" s="198">
        <v>0.1629</v>
      </c>
      <c r="H164" s="227">
        <v>0.1629</v>
      </c>
      <c r="I164" s="227">
        <v>0.1629</v>
      </c>
      <c r="J164" s="228">
        <f t="shared" si="21"/>
        <v>0</v>
      </c>
      <c r="K164" s="235">
        <v>0.1828</v>
      </c>
      <c r="L164" s="300">
        <f>K164*1.0764</f>
        <v>0.19676591999999998</v>
      </c>
      <c r="M164" s="324">
        <f t="shared" si="22"/>
        <v>0.20046511929599997</v>
      </c>
      <c r="N164" s="324">
        <v>0.21417693345584637</v>
      </c>
      <c r="O164" s="324">
        <f t="shared" si="20"/>
        <v>0.2421698586585255</v>
      </c>
      <c r="P164" s="234">
        <f t="shared" si="26"/>
        <v>0.1307</v>
      </c>
      <c r="Q164" s="324">
        <f t="shared" si="23"/>
        <v>0.26178561720986604</v>
      </c>
      <c r="R164" s="650">
        <f t="shared" si="24"/>
        <v>0.27545082642822105</v>
      </c>
    </row>
    <row r="165" spans="1:18" ht="13.5">
      <c r="A165" s="549" t="s">
        <v>1236</v>
      </c>
      <c r="B165" s="679"/>
      <c r="C165" s="680"/>
      <c r="D165" s="680"/>
      <c r="E165" s="680"/>
      <c r="F165" s="680"/>
      <c r="G165" s="196"/>
      <c r="H165" s="197"/>
      <c r="I165" s="197"/>
      <c r="J165" s="219"/>
      <c r="K165" s="251"/>
      <c r="L165" s="313"/>
      <c r="M165" s="324"/>
      <c r="N165" s="324"/>
      <c r="O165" s="324"/>
      <c r="P165" s="849"/>
      <c r="Q165" s="324"/>
      <c r="R165" s="650"/>
    </row>
    <row r="166" spans="1:18" ht="13.5">
      <c r="A166" s="680"/>
      <c r="B166" s="679"/>
      <c r="C166" s="680"/>
      <c r="D166" s="680"/>
      <c r="E166" s="680"/>
      <c r="F166" s="680"/>
      <c r="G166" s="196"/>
      <c r="H166" s="197"/>
      <c r="I166" s="197"/>
      <c r="J166" s="219"/>
      <c r="K166" s="251"/>
      <c r="L166" s="313"/>
      <c r="M166" s="324"/>
      <c r="N166" s="324"/>
      <c r="O166" s="324"/>
      <c r="P166" s="849"/>
      <c r="Q166" s="324"/>
      <c r="R166" s="650"/>
    </row>
    <row r="167" spans="1:18" ht="13.5">
      <c r="A167" s="683" t="s">
        <v>744</v>
      </c>
      <c r="B167" s="684"/>
      <c r="C167" s="683"/>
      <c r="D167" s="683"/>
      <c r="E167" s="683"/>
      <c r="F167" s="683"/>
      <c r="G167" s="196"/>
      <c r="H167" s="197"/>
      <c r="I167" s="197"/>
      <c r="J167" s="219"/>
      <c r="K167" s="251"/>
      <c r="L167" s="313"/>
      <c r="M167" s="324"/>
      <c r="N167" s="324"/>
      <c r="O167" s="324"/>
      <c r="P167" s="849"/>
      <c r="Q167" s="324"/>
      <c r="R167" s="650"/>
    </row>
    <row r="168" spans="1:18" ht="13.5">
      <c r="A168" s="683"/>
      <c r="B168" s="684"/>
      <c r="C168" s="683"/>
      <c r="D168" s="683"/>
      <c r="E168" s="683"/>
      <c r="F168" s="683"/>
      <c r="G168" s="196"/>
      <c r="H168" s="197"/>
      <c r="I168" s="197"/>
      <c r="J168" s="219"/>
      <c r="K168" s="251"/>
      <c r="L168" s="313"/>
      <c r="M168" s="324"/>
      <c r="N168" s="324"/>
      <c r="O168" s="324"/>
      <c r="P168" s="234"/>
      <c r="Q168" s="324"/>
      <c r="R168" s="650"/>
    </row>
    <row r="169" spans="1:18" s="295" customFormat="1" ht="13.5">
      <c r="A169" s="676" t="s">
        <v>23</v>
      </c>
      <c r="B169" s="675" t="s">
        <v>345</v>
      </c>
      <c r="C169" s="676"/>
      <c r="D169" s="676"/>
      <c r="E169" s="676"/>
      <c r="F169" s="676"/>
      <c r="G169" s="322">
        <v>0.9005</v>
      </c>
      <c r="H169" s="294">
        <v>0.9005</v>
      </c>
      <c r="I169" s="294">
        <v>0.9005</v>
      </c>
      <c r="J169" s="323">
        <f>(I169-H169)/I169</f>
        <v>0</v>
      </c>
      <c r="K169" s="294">
        <v>1.0104</v>
      </c>
      <c r="L169" s="352">
        <v>1.14</v>
      </c>
      <c r="M169" s="354">
        <f>(L169*$M$5)+L169</f>
        <v>1.1614319999999998</v>
      </c>
      <c r="N169" s="324">
        <v>1.2408739487999998</v>
      </c>
      <c r="O169" s="324">
        <f t="shared" si="20"/>
        <v>1.4030561739081597</v>
      </c>
      <c r="P169" s="234">
        <f t="shared" si="26"/>
        <v>0.1307</v>
      </c>
      <c r="Q169" s="324">
        <f>(O169*$Q$9)+O169</f>
        <v>1.5167037239947208</v>
      </c>
      <c r="R169" s="650">
        <f>(Q169*$R$9)+Q169</f>
        <v>1.595875658387245</v>
      </c>
    </row>
    <row r="170" spans="1:18" ht="27">
      <c r="A170" s="550" t="s">
        <v>1240</v>
      </c>
      <c r="B170" s="679"/>
      <c r="C170" s="680"/>
      <c r="D170" s="680"/>
      <c r="E170" s="680"/>
      <c r="F170" s="680"/>
      <c r="G170" s="196"/>
      <c r="H170" s="197"/>
      <c r="I170" s="197"/>
      <c r="J170" s="218"/>
      <c r="K170" s="251"/>
      <c r="L170" s="313"/>
      <c r="M170" s="324"/>
      <c r="N170" s="324"/>
      <c r="O170" s="324"/>
      <c r="P170" s="234"/>
      <c r="Q170" s="324"/>
      <c r="R170" s="650"/>
    </row>
    <row r="171" spans="1:18" ht="13.5">
      <c r="A171" s="680"/>
      <c r="B171" s="679"/>
      <c r="C171" s="680"/>
      <c r="D171" s="680"/>
      <c r="E171" s="680"/>
      <c r="F171" s="680"/>
      <c r="G171" s="196"/>
      <c r="H171" s="197"/>
      <c r="I171" s="197"/>
      <c r="J171" s="218"/>
      <c r="K171" s="251"/>
      <c r="L171" s="313"/>
      <c r="M171" s="324"/>
      <c r="N171" s="324"/>
      <c r="O171" s="324"/>
      <c r="P171" s="234"/>
      <c r="Q171" s="324"/>
      <c r="R171" s="650"/>
    </row>
    <row r="172" spans="1:18" ht="13.5">
      <c r="A172" s="683" t="s">
        <v>808</v>
      </c>
      <c r="B172" s="684"/>
      <c r="C172" s="683"/>
      <c r="D172" s="683"/>
      <c r="E172" s="683"/>
      <c r="F172" s="683"/>
      <c r="G172" s="196"/>
      <c r="H172" s="197"/>
      <c r="I172" s="197"/>
      <c r="J172" s="218"/>
      <c r="K172" s="251"/>
      <c r="L172" s="313"/>
      <c r="M172" s="324"/>
      <c r="N172" s="324"/>
      <c r="O172" s="324"/>
      <c r="P172" s="234"/>
      <c r="Q172" s="324"/>
      <c r="R172" s="650"/>
    </row>
    <row r="173" spans="1:18" ht="13.5">
      <c r="A173" s="680" t="s">
        <v>809</v>
      </c>
      <c r="B173" s="679"/>
      <c r="C173" s="680"/>
      <c r="D173" s="680"/>
      <c r="E173" s="680"/>
      <c r="F173" s="680"/>
      <c r="G173" s="207">
        <v>1149.073</v>
      </c>
      <c r="H173" s="230">
        <v>1149.07</v>
      </c>
      <c r="I173" s="230">
        <v>0</v>
      </c>
      <c r="J173" s="231">
        <v>0</v>
      </c>
      <c r="K173" s="236">
        <v>1289.26</v>
      </c>
      <c r="L173" s="313">
        <f>K173*1.0764</f>
        <v>1387.759464</v>
      </c>
      <c r="M173" s="324">
        <f>(L173*$M$5)+L173</f>
        <v>1413.8493419232</v>
      </c>
      <c r="N173" s="324">
        <v>1510.5566369107469</v>
      </c>
      <c r="O173" s="324">
        <f t="shared" si="20"/>
        <v>1707.9863893549814</v>
      </c>
      <c r="P173" s="234">
        <f t="shared" si="26"/>
        <v>0.1307</v>
      </c>
      <c r="Q173" s="324">
        <f>(O173*$Q$9)+O173</f>
        <v>1846.3332868927348</v>
      </c>
      <c r="R173" s="650">
        <f>(Q173*$R$9)+Q173</f>
        <v>1942.7118844685356</v>
      </c>
    </row>
    <row r="174" spans="1:18" ht="13.5">
      <c r="A174" s="680" t="s">
        <v>810</v>
      </c>
      <c r="B174" s="679"/>
      <c r="C174" s="680"/>
      <c r="D174" s="680"/>
      <c r="E174" s="680"/>
      <c r="F174" s="680"/>
      <c r="G174" s="207">
        <v>2298.146</v>
      </c>
      <c r="H174" s="230">
        <v>2298.15</v>
      </c>
      <c r="I174" s="230">
        <v>0</v>
      </c>
      <c r="J174" s="231">
        <v>0</v>
      </c>
      <c r="K174" s="236">
        <v>2578.52</v>
      </c>
      <c r="L174" s="313">
        <f>K174*1.0764</f>
        <v>2775.518928</v>
      </c>
      <c r="M174" s="324">
        <f>(L174*$M$5)+L174</f>
        <v>2827.6986838464</v>
      </c>
      <c r="N174" s="324">
        <v>3021.1132738214937</v>
      </c>
      <c r="O174" s="324">
        <f t="shared" si="20"/>
        <v>3415.9727787099628</v>
      </c>
      <c r="P174" s="234">
        <f t="shared" si="26"/>
        <v>0.1307</v>
      </c>
      <c r="Q174" s="324">
        <f>(O174*$Q$9)+O174</f>
        <v>3692.6665737854696</v>
      </c>
      <c r="R174" s="650">
        <f>(Q174*$R$9)+Q174</f>
        <v>3885.423768937071</v>
      </c>
    </row>
    <row r="175" spans="1:18" ht="13.5">
      <c r="A175" s="680" t="s">
        <v>811</v>
      </c>
      <c r="B175" s="679"/>
      <c r="C175" s="680"/>
      <c r="D175" s="680"/>
      <c r="E175" s="680"/>
      <c r="F175" s="680"/>
      <c r="G175" s="207">
        <v>4021.7555</v>
      </c>
      <c r="H175" s="230">
        <v>4021.76</v>
      </c>
      <c r="I175" s="230">
        <v>0</v>
      </c>
      <c r="J175" s="231">
        <v>0</v>
      </c>
      <c r="K175" s="236">
        <v>4512.41</v>
      </c>
      <c r="L175" s="313">
        <f>K175*1.0764</f>
        <v>4857.158124</v>
      </c>
      <c r="M175" s="324">
        <f>(L175*$M$5)+L175</f>
        <v>4948.4726967312</v>
      </c>
      <c r="N175" s="324">
        <v>5286.948229187614</v>
      </c>
      <c r="O175" s="324">
        <f t="shared" si="20"/>
        <v>5977.952362742435</v>
      </c>
      <c r="P175" s="234">
        <f t="shared" si="26"/>
        <v>0.1307</v>
      </c>
      <c r="Q175" s="324">
        <f>(O175*$Q$9)+O175</f>
        <v>6462.166504124572</v>
      </c>
      <c r="R175" s="650">
        <f>(Q175*$R$9)+Q175</f>
        <v>6799.491595639875</v>
      </c>
    </row>
    <row r="176" spans="1:18" ht="13.5">
      <c r="A176" s="681" t="s">
        <v>1207</v>
      </c>
      <c r="B176" s="679"/>
      <c r="C176" s="680"/>
      <c r="D176" s="680"/>
      <c r="E176" s="680"/>
      <c r="F176" s="680"/>
      <c r="G176" s="207"/>
      <c r="H176" s="230"/>
      <c r="I176" s="230"/>
      <c r="J176" s="231"/>
      <c r="K176" s="236"/>
      <c r="L176" s="313"/>
      <c r="M176" s="324"/>
      <c r="N176" s="324"/>
      <c r="O176" s="324"/>
      <c r="P176" s="234"/>
      <c r="Q176" s="520"/>
      <c r="R176" s="719"/>
    </row>
    <row r="177" spans="1:18" ht="13.5">
      <c r="A177" s="410" t="s">
        <v>1267</v>
      </c>
      <c r="B177" s="424"/>
      <c r="C177" s="410"/>
      <c r="D177" s="410"/>
      <c r="E177" s="410"/>
      <c r="F177" s="410"/>
      <c r="G177" s="863">
        <v>1723.6095</v>
      </c>
      <c r="H177" s="236">
        <v>1723.61</v>
      </c>
      <c r="I177" s="236">
        <v>0</v>
      </c>
      <c r="J177" s="864">
        <v>0</v>
      </c>
      <c r="K177" s="236">
        <v>1933.89</v>
      </c>
      <c r="L177" s="313">
        <f>K177*1.0764</f>
        <v>2081.639196</v>
      </c>
      <c r="M177" s="324">
        <f>(L177*$M$5)+L177</f>
        <v>2120.7740128848</v>
      </c>
      <c r="N177" s="865">
        <v>8132.214764474977</v>
      </c>
      <c r="O177" s="865">
        <f t="shared" si="20"/>
        <v>9195.095234191856</v>
      </c>
      <c r="P177" s="937">
        <f t="shared" si="26"/>
        <v>0.1307</v>
      </c>
      <c r="Q177" s="865">
        <f aca="true" t="shared" si="27" ref="Q177:Q182">(O177*$Q$9)+O177</f>
        <v>9939.897948161397</v>
      </c>
      <c r="R177" s="866">
        <f aca="true" t="shared" si="28" ref="R177:R182">(Q177*$R$9)+Q177</f>
        <v>10458.760621055422</v>
      </c>
    </row>
    <row r="178" spans="1:18" ht="13.5">
      <c r="A178" s="410" t="s">
        <v>812</v>
      </c>
      <c r="B178" s="424"/>
      <c r="C178" s="410"/>
      <c r="D178" s="410"/>
      <c r="E178" s="410"/>
      <c r="F178" s="410"/>
      <c r="G178" s="863">
        <v>1723.6095</v>
      </c>
      <c r="H178" s="236">
        <v>1723.61</v>
      </c>
      <c r="I178" s="236">
        <v>0</v>
      </c>
      <c r="J178" s="864">
        <v>0</v>
      </c>
      <c r="K178" s="236">
        <v>1933.89</v>
      </c>
      <c r="L178" s="313">
        <f>K178*1.0764</f>
        <v>2081.639196</v>
      </c>
      <c r="M178" s="324">
        <f>(L178*$M$5)+L178</f>
        <v>2120.7740128848</v>
      </c>
      <c r="N178" s="865">
        <v>8132.214764474977</v>
      </c>
      <c r="O178" s="865">
        <f t="shared" si="20"/>
        <v>9195.095234191856</v>
      </c>
      <c r="P178" s="937">
        <f t="shared" si="26"/>
        <v>0.1307</v>
      </c>
      <c r="Q178" s="865">
        <f t="shared" si="27"/>
        <v>9939.897948161397</v>
      </c>
      <c r="R178" s="866">
        <f t="shared" si="28"/>
        <v>10458.760621055422</v>
      </c>
    </row>
    <row r="179" spans="1:18" ht="13.5">
      <c r="A179" s="410" t="s">
        <v>1180</v>
      </c>
      <c r="B179" s="424"/>
      <c r="C179" s="410"/>
      <c r="D179" s="410"/>
      <c r="E179" s="410"/>
      <c r="F179" s="410"/>
      <c r="G179" s="863"/>
      <c r="H179" s="236"/>
      <c r="I179" s="236"/>
      <c r="J179" s="864"/>
      <c r="K179" s="236"/>
      <c r="L179" s="313"/>
      <c r="M179" s="324"/>
      <c r="N179" s="865">
        <v>30000</v>
      </c>
      <c r="O179" s="865">
        <f t="shared" si="20"/>
        <v>33921</v>
      </c>
      <c r="P179" s="937">
        <f t="shared" si="26"/>
        <v>0.1307</v>
      </c>
      <c r="Q179" s="865">
        <f t="shared" si="27"/>
        <v>36668.601</v>
      </c>
      <c r="R179" s="866">
        <f t="shared" si="28"/>
        <v>38582.701972200004</v>
      </c>
    </row>
    <row r="180" spans="1:18" ht="13.5">
      <c r="A180" s="410" t="s">
        <v>1181</v>
      </c>
      <c r="B180" s="424"/>
      <c r="C180" s="410"/>
      <c r="D180" s="410"/>
      <c r="E180" s="410"/>
      <c r="F180" s="410"/>
      <c r="G180" s="863"/>
      <c r="H180" s="236"/>
      <c r="I180" s="236"/>
      <c r="J180" s="864"/>
      <c r="K180" s="236"/>
      <c r="L180" s="313"/>
      <c r="M180" s="324">
        <v>100000</v>
      </c>
      <c r="N180" s="865">
        <v>112199.99999999999</v>
      </c>
      <c r="O180" s="865">
        <f t="shared" si="20"/>
        <v>126864.53999999998</v>
      </c>
      <c r="P180" s="937">
        <f t="shared" si="26"/>
        <v>0.1307</v>
      </c>
      <c r="Q180" s="865">
        <f t="shared" si="27"/>
        <v>137140.56773999997</v>
      </c>
      <c r="R180" s="866">
        <f t="shared" si="28"/>
        <v>144299.30537602797</v>
      </c>
    </row>
    <row r="181" spans="1:18" ht="13.5">
      <c r="A181" s="410" t="s">
        <v>1182</v>
      </c>
      <c r="B181" s="424"/>
      <c r="C181" s="410"/>
      <c r="D181" s="410"/>
      <c r="E181" s="410"/>
      <c r="F181" s="410"/>
      <c r="G181" s="863"/>
      <c r="H181" s="236"/>
      <c r="I181" s="236"/>
      <c r="J181" s="864"/>
      <c r="K181" s="236"/>
      <c r="L181" s="313"/>
      <c r="M181" s="324"/>
      <c r="N181" s="865">
        <v>200000</v>
      </c>
      <c r="O181" s="865">
        <f t="shared" si="20"/>
        <v>226140</v>
      </c>
      <c r="P181" s="937">
        <f t="shared" si="26"/>
        <v>0.1307</v>
      </c>
      <c r="Q181" s="865">
        <f t="shared" si="27"/>
        <v>244457.34</v>
      </c>
      <c r="R181" s="866">
        <f t="shared" si="28"/>
        <v>257218.013148</v>
      </c>
    </row>
    <row r="182" spans="1:18" ht="13.5">
      <c r="A182" s="410" t="s">
        <v>1091</v>
      </c>
      <c r="B182" s="424"/>
      <c r="C182" s="410"/>
      <c r="D182" s="410"/>
      <c r="E182" s="410"/>
      <c r="F182" s="410"/>
      <c r="G182" s="863"/>
      <c r="H182" s="236"/>
      <c r="I182" s="236"/>
      <c r="J182" s="864"/>
      <c r="K182" s="236"/>
      <c r="L182" s="313"/>
      <c r="M182" s="324"/>
      <c r="N182" s="865">
        <v>500000</v>
      </c>
      <c r="O182" s="865">
        <f t="shared" si="20"/>
        <v>565350</v>
      </c>
      <c r="P182" s="937">
        <f t="shared" si="26"/>
        <v>0.1307</v>
      </c>
      <c r="Q182" s="865">
        <f t="shared" si="27"/>
        <v>611143.35</v>
      </c>
      <c r="R182" s="866">
        <f t="shared" si="28"/>
        <v>643045.03287</v>
      </c>
    </row>
    <row r="183" spans="1:18" s="642" customFormat="1" ht="13.5" hidden="1">
      <c r="A183" s="690" t="s">
        <v>1104</v>
      </c>
      <c r="B183" s="691"/>
      <c r="C183" s="690"/>
      <c r="D183" s="690"/>
      <c r="E183" s="690"/>
      <c r="F183" s="690"/>
      <c r="G183" s="636">
        <v>1723.6095</v>
      </c>
      <c r="H183" s="637">
        <v>1723.61</v>
      </c>
      <c r="I183" s="637">
        <v>0</v>
      </c>
      <c r="J183" s="638">
        <v>0</v>
      </c>
      <c r="K183" s="637">
        <v>1933.89</v>
      </c>
      <c r="L183" s="639">
        <f>K183*1.0764</f>
        <v>2081.639196</v>
      </c>
      <c r="M183" s="640">
        <f>(L183*$M$5)+L183</f>
        <v>2120.7740128848</v>
      </c>
      <c r="N183" s="640">
        <v>0</v>
      </c>
      <c r="O183" s="640">
        <f t="shared" si="20"/>
        <v>0</v>
      </c>
      <c r="P183" s="641">
        <f t="shared" si="26"/>
        <v>0.1307</v>
      </c>
      <c r="Q183" s="640"/>
      <c r="R183" s="720"/>
    </row>
    <row r="184" spans="1:18" s="642" customFormat="1" ht="13.5" hidden="1">
      <c r="A184" s="690" t="s">
        <v>1105</v>
      </c>
      <c r="B184" s="691"/>
      <c r="C184" s="690"/>
      <c r="D184" s="690"/>
      <c r="E184" s="690"/>
      <c r="F184" s="690"/>
      <c r="G184" s="636">
        <v>1723.6095</v>
      </c>
      <c r="H184" s="637">
        <v>1723.61</v>
      </c>
      <c r="I184" s="637">
        <v>0</v>
      </c>
      <c r="J184" s="638">
        <v>0</v>
      </c>
      <c r="K184" s="637">
        <v>1933.89</v>
      </c>
      <c r="L184" s="639">
        <f>K184*1.0764</f>
        <v>2081.639196</v>
      </c>
      <c r="M184" s="640">
        <f>(L184*$M$5)+L184</f>
        <v>2120.7740128848</v>
      </c>
      <c r="N184" s="640">
        <v>0</v>
      </c>
      <c r="O184" s="640">
        <f t="shared" si="20"/>
        <v>0</v>
      </c>
      <c r="P184" s="641">
        <f t="shared" si="26"/>
        <v>0.1307</v>
      </c>
      <c r="Q184" s="324"/>
      <c r="R184" s="650"/>
    </row>
    <row r="185" spans="1:18" s="751" customFormat="1" ht="13.5" hidden="1">
      <c r="A185" s="744" t="s">
        <v>1106</v>
      </c>
      <c r="B185" s="745"/>
      <c r="C185" s="744"/>
      <c r="D185" s="744"/>
      <c r="E185" s="744"/>
      <c r="F185" s="744"/>
      <c r="G185" s="746"/>
      <c r="H185" s="747"/>
      <c r="I185" s="747"/>
      <c r="J185" s="748"/>
      <c r="K185" s="747"/>
      <c r="L185" s="349"/>
      <c r="M185" s="749"/>
      <c r="N185" s="749"/>
      <c r="O185" s="749"/>
      <c r="P185" s="940"/>
      <c r="Q185" s="749"/>
      <c r="R185" s="750"/>
    </row>
    <row r="186" spans="1:18" s="751" customFormat="1" ht="13.5" hidden="1">
      <c r="A186" s="744" t="s">
        <v>1268</v>
      </c>
      <c r="B186" s="745"/>
      <c r="C186" s="744"/>
      <c r="D186" s="744"/>
      <c r="E186" s="744"/>
      <c r="F186" s="744"/>
      <c r="G186" s="746"/>
      <c r="H186" s="747"/>
      <c r="I186" s="747"/>
      <c r="J186" s="748"/>
      <c r="K186" s="747"/>
      <c r="L186" s="349"/>
      <c r="M186" s="749"/>
      <c r="N186" s="749"/>
      <c r="O186" s="749"/>
      <c r="P186" s="940"/>
      <c r="Q186" s="749"/>
      <c r="R186" s="750"/>
    </row>
    <row r="187" spans="1:18" s="751" customFormat="1" ht="13.5" hidden="1">
      <c r="A187" s="744" t="s">
        <v>813</v>
      </c>
      <c r="B187" s="745"/>
      <c r="C187" s="744"/>
      <c r="D187" s="744"/>
      <c r="E187" s="744"/>
      <c r="F187" s="744"/>
      <c r="G187" s="746"/>
      <c r="H187" s="747"/>
      <c r="I187" s="747"/>
      <c r="J187" s="748"/>
      <c r="K187" s="747"/>
      <c r="L187" s="349"/>
      <c r="M187" s="749"/>
      <c r="N187" s="749"/>
      <c r="O187" s="749"/>
      <c r="P187" s="940"/>
      <c r="Q187" s="752"/>
      <c r="R187" s="753"/>
    </row>
    <row r="188" spans="1:18" ht="13.5">
      <c r="A188" s="182" t="s">
        <v>1107</v>
      </c>
      <c r="B188" s="205"/>
      <c r="C188" s="182"/>
      <c r="D188" s="182"/>
      <c r="E188" s="182"/>
      <c r="F188" s="182"/>
      <c r="G188" s="229"/>
      <c r="H188" s="230"/>
      <c r="I188" s="230"/>
      <c r="J188" s="1001"/>
      <c r="K188" s="236"/>
      <c r="L188" s="313">
        <v>2081.639196</v>
      </c>
      <c r="M188" s="324">
        <v>2120.774</v>
      </c>
      <c r="N188" s="865">
        <v>8132.214764474977</v>
      </c>
      <c r="O188" s="865">
        <f t="shared" si="20"/>
        <v>9195.095234191856</v>
      </c>
      <c r="P188" s="938">
        <f t="shared" si="26"/>
        <v>0.1307</v>
      </c>
      <c r="Q188" s="324">
        <f>(O188*$Q$9)+O188</f>
        <v>9939.897948161397</v>
      </c>
      <c r="R188" s="650">
        <f>(Q188*$R$9)+Q188</f>
        <v>10458.760621055422</v>
      </c>
    </row>
    <row r="189" spans="1:18" ht="13.5">
      <c r="A189" s="680"/>
      <c r="B189" s="679"/>
      <c r="C189" s="680"/>
      <c r="D189" s="680"/>
      <c r="E189" s="680"/>
      <c r="F189" s="680"/>
      <c r="G189" s="176"/>
      <c r="H189" s="176"/>
      <c r="I189" s="176"/>
      <c r="J189" s="176"/>
      <c r="K189" s="214"/>
      <c r="L189" s="313"/>
      <c r="M189" s="324"/>
      <c r="N189" s="324"/>
      <c r="O189" s="324"/>
      <c r="P189" s="941"/>
      <c r="Q189" s="324"/>
      <c r="R189" s="650"/>
    </row>
    <row r="190" spans="1:18" ht="13.5">
      <c r="A190" s="680"/>
      <c r="B190" s="679"/>
      <c r="C190" s="680"/>
      <c r="D190" s="680"/>
      <c r="E190" s="680"/>
      <c r="F190" s="680"/>
      <c r="G190" s="176"/>
      <c r="H190" s="176"/>
      <c r="I190" s="176"/>
      <c r="J190" s="176"/>
      <c r="K190" s="214"/>
      <c r="L190" s="313"/>
      <c r="M190" s="324"/>
      <c r="N190" s="324"/>
      <c r="O190" s="324"/>
      <c r="P190" s="941"/>
      <c r="Q190" s="324"/>
      <c r="R190" s="650"/>
    </row>
    <row r="191" spans="1:18" ht="13.5">
      <c r="A191" s="683" t="s">
        <v>292</v>
      </c>
      <c r="B191" s="684"/>
      <c r="C191" s="680"/>
      <c r="D191" s="680"/>
      <c r="E191" s="680"/>
      <c r="F191" s="680"/>
      <c r="G191" s="176"/>
      <c r="H191" s="176"/>
      <c r="I191" s="176"/>
      <c r="J191" s="176"/>
      <c r="K191" s="214"/>
      <c r="L191" s="313"/>
      <c r="M191" s="324"/>
      <c r="N191" s="324"/>
      <c r="O191" s="324"/>
      <c r="P191" s="196"/>
      <c r="Q191" s="324"/>
      <c r="R191" s="650"/>
    </row>
    <row r="192" spans="1:18" ht="13.5">
      <c r="A192" s="963" t="s">
        <v>293</v>
      </c>
      <c r="B192" s="963"/>
      <c r="C192" s="963"/>
      <c r="D192" s="963"/>
      <c r="E192" s="963"/>
      <c r="F192" s="963"/>
      <c r="G192" s="176"/>
      <c r="H192" s="176"/>
      <c r="I192" s="176"/>
      <c r="J192" s="176"/>
      <c r="K192" s="214"/>
      <c r="L192" s="313"/>
      <c r="M192" s="324"/>
      <c r="N192" s="324"/>
      <c r="O192" s="324"/>
      <c r="P192" s="223"/>
      <c r="Q192" s="324"/>
      <c r="R192" s="650"/>
    </row>
    <row r="193" spans="1:18" ht="13.5">
      <c r="A193" s="963" t="s">
        <v>294</v>
      </c>
      <c r="B193" s="963"/>
      <c r="C193" s="963"/>
      <c r="D193" s="963"/>
      <c r="E193" s="963"/>
      <c r="F193" s="963"/>
      <c r="G193" s="176"/>
      <c r="H193" s="176"/>
      <c r="I193" s="176"/>
      <c r="J193" s="176"/>
      <c r="K193" s="214"/>
      <c r="L193" s="313"/>
      <c r="M193" s="324"/>
      <c r="N193" s="324"/>
      <c r="O193" s="324"/>
      <c r="P193" s="223"/>
      <c r="Q193" s="324"/>
      <c r="R193" s="650"/>
    </row>
    <row r="194" spans="1:18" ht="13.5">
      <c r="A194" s="963" t="s">
        <v>295</v>
      </c>
      <c r="B194" s="963"/>
      <c r="C194" s="963"/>
      <c r="D194" s="963"/>
      <c r="E194" s="963"/>
      <c r="F194" s="963"/>
      <c r="G194" s="176"/>
      <c r="H194" s="176"/>
      <c r="I194" s="176"/>
      <c r="J194" s="176"/>
      <c r="K194" s="214"/>
      <c r="L194" s="313"/>
      <c r="M194" s="324"/>
      <c r="N194" s="324"/>
      <c r="O194" s="324"/>
      <c r="P194" s="223"/>
      <c r="Q194" s="324"/>
      <c r="R194" s="650"/>
    </row>
    <row r="195" spans="1:18" ht="13.5">
      <c r="A195" s="680"/>
      <c r="B195" s="679"/>
      <c r="C195" s="680"/>
      <c r="D195" s="680"/>
      <c r="E195" s="680"/>
      <c r="F195" s="680"/>
      <c r="G195" s="176"/>
      <c r="H195" s="176"/>
      <c r="I195" s="176"/>
      <c r="J195" s="176"/>
      <c r="K195" s="214"/>
      <c r="L195" s="313"/>
      <c r="M195" s="324"/>
      <c r="N195" s="324"/>
      <c r="O195" s="324"/>
      <c r="P195" s="223"/>
      <c r="Q195" s="650"/>
      <c r="R195" s="650"/>
    </row>
    <row r="196" spans="1:18" ht="13.5">
      <c r="A196" s="692" t="s">
        <v>296</v>
      </c>
      <c r="B196" s="679"/>
      <c r="C196" s="693" t="s">
        <v>297</v>
      </c>
      <c r="D196" s="680" t="s">
        <v>298</v>
      </c>
      <c r="E196" s="680"/>
      <c r="F196" s="680"/>
      <c r="G196" s="176"/>
      <c r="H196" s="176"/>
      <c r="I196" s="176"/>
      <c r="J196" s="176"/>
      <c r="K196" s="214"/>
      <c r="L196" s="313"/>
      <c r="M196" s="324"/>
      <c r="N196" s="324"/>
      <c r="O196" s="324"/>
      <c r="P196" s="223"/>
      <c r="Q196" s="650"/>
      <c r="R196" s="650"/>
    </row>
    <row r="197" spans="1:18" ht="13.5">
      <c r="A197" s="692" t="s">
        <v>299</v>
      </c>
      <c r="B197" s="679"/>
      <c r="C197" s="693" t="s">
        <v>297</v>
      </c>
      <c r="D197" s="680" t="s">
        <v>300</v>
      </c>
      <c r="E197" s="680"/>
      <c r="F197" s="680"/>
      <c r="G197" s="176"/>
      <c r="H197" s="176"/>
      <c r="I197" s="176"/>
      <c r="J197" s="176"/>
      <c r="K197" s="253"/>
      <c r="L197" s="314"/>
      <c r="M197" s="355"/>
      <c r="N197" s="355"/>
      <c r="O197" s="355"/>
      <c r="P197" s="224"/>
      <c r="Q197" s="651"/>
      <c r="R197" s="651"/>
    </row>
    <row r="198" spans="1:16" ht="13.5">
      <c r="A198" s="692" t="s">
        <v>301</v>
      </c>
      <c r="B198" s="679"/>
      <c r="C198" s="693" t="s">
        <v>297</v>
      </c>
      <c r="D198" s="680" t="s">
        <v>302</v>
      </c>
      <c r="E198" s="680"/>
      <c r="F198" s="680"/>
      <c r="G198" s="176"/>
      <c r="H198" s="176"/>
      <c r="I198" s="176"/>
      <c r="J198" s="176"/>
      <c r="K198" s="214"/>
      <c r="L198" s="307"/>
      <c r="M198" s="296"/>
      <c r="N198" s="296"/>
      <c r="O198" s="296"/>
      <c r="P198" s="215"/>
    </row>
    <row r="199" spans="1:16" ht="13.5">
      <c r="A199" s="680"/>
      <c r="B199" s="679"/>
      <c r="C199" s="680"/>
      <c r="D199" s="680"/>
      <c r="E199" s="680"/>
      <c r="F199" s="680"/>
      <c r="G199" s="176"/>
      <c r="H199" s="176"/>
      <c r="I199" s="176"/>
      <c r="J199" s="176"/>
      <c r="K199" s="214"/>
      <c r="L199" s="307"/>
      <c r="M199" s="296"/>
      <c r="N199" s="296"/>
      <c r="O199" s="296"/>
      <c r="P199" s="215"/>
    </row>
    <row r="200" spans="1:16" ht="13.5">
      <c r="A200" s="536"/>
      <c r="B200" s="177"/>
      <c r="C200" s="176"/>
      <c r="D200" s="176"/>
      <c r="E200" s="176"/>
      <c r="F200" s="176"/>
      <c r="G200" s="176"/>
      <c r="H200" s="176"/>
      <c r="I200" s="176"/>
      <c r="J200" s="176"/>
      <c r="K200" s="214"/>
      <c r="L200" s="307"/>
      <c r="M200" s="296"/>
      <c r="N200" s="296"/>
      <c r="O200" s="296"/>
      <c r="P200" s="215"/>
    </row>
    <row r="201" spans="1:16" ht="13.5">
      <c r="A201" s="176"/>
      <c r="B201" s="177"/>
      <c r="C201" s="176"/>
      <c r="D201" s="176"/>
      <c r="E201" s="176"/>
      <c r="F201" s="176"/>
      <c r="G201" s="176"/>
      <c r="H201" s="176"/>
      <c r="I201" s="176"/>
      <c r="J201" s="176"/>
      <c r="K201" s="214"/>
      <c r="L201" s="307"/>
      <c r="M201" s="296"/>
      <c r="N201" s="296"/>
      <c r="O201" s="296"/>
      <c r="P201" s="215"/>
    </row>
    <row r="202" spans="1:16" ht="16.5" customHeight="1">
      <c r="A202" s="176"/>
      <c r="B202" s="177"/>
      <c r="C202" s="176"/>
      <c r="D202" s="176"/>
      <c r="E202" s="176"/>
      <c r="F202" s="176"/>
      <c r="G202" s="176"/>
      <c r="H202" s="176"/>
      <c r="I202" s="176"/>
      <c r="J202" s="176"/>
      <c r="K202" s="214"/>
      <c r="L202" s="307"/>
      <c r="M202" s="296"/>
      <c r="N202" s="296"/>
      <c r="O202" s="296"/>
      <c r="P202" s="215"/>
    </row>
    <row r="203" spans="1:16" ht="16.5" customHeight="1">
      <c r="A203" s="176"/>
      <c r="B203" s="177"/>
      <c r="C203" s="176"/>
      <c r="D203" s="176"/>
      <c r="E203" s="176"/>
      <c r="F203" s="176"/>
      <c r="G203" s="176"/>
      <c r="H203" s="176"/>
      <c r="I203" s="176"/>
      <c r="J203" s="176"/>
      <c r="K203" s="214"/>
      <c r="L203" s="307"/>
      <c r="M203" s="296"/>
      <c r="N203" s="296"/>
      <c r="O203" s="296"/>
      <c r="P203" s="215"/>
    </row>
    <row r="204" spans="1:16" ht="13.5">
      <c r="A204" s="176"/>
      <c r="B204" s="177"/>
      <c r="C204" s="176"/>
      <c r="D204" s="176"/>
      <c r="E204" s="176"/>
      <c r="F204" s="176"/>
      <c r="G204" s="176"/>
      <c r="H204" s="176"/>
      <c r="I204" s="176"/>
      <c r="J204" s="176"/>
      <c r="K204" s="214"/>
      <c r="L204" s="307"/>
      <c r="M204" s="296"/>
      <c r="N204" s="296"/>
      <c r="O204" s="296"/>
      <c r="P204" s="215"/>
    </row>
    <row r="205" spans="1:12" s="5" customFormat="1" ht="27">
      <c r="A205" s="408" t="s">
        <v>1163</v>
      </c>
      <c r="J205" s="357"/>
      <c r="K205" s="358"/>
      <c r="L205" s="358"/>
    </row>
    <row r="206" spans="10:12" s="5" customFormat="1" ht="13.5">
      <c r="J206" s="357"/>
      <c r="K206" s="256"/>
      <c r="L206" s="256"/>
    </row>
  </sheetData>
  <sheetProtection/>
  <mergeCells count="54">
    <mergeCell ref="A1:E1"/>
    <mergeCell ref="A138:A139"/>
    <mergeCell ref="C138:C139"/>
    <mergeCell ref="D138:D139"/>
    <mergeCell ref="A158:A159"/>
    <mergeCell ref="C158:C159"/>
    <mergeCell ref="D158:D159"/>
    <mergeCell ref="E68:E69"/>
    <mergeCell ref="A70:A71"/>
    <mergeCell ref="C70:C71"/>
    <mergeCell ref="D70:D71"/>
    <mergeCell ref="E70:E71"/>
    <mergeCell ref="A136:A137"/>
    <mergeCell ref="C136:C137"/>
    <mergeCell ref="D136:D137"/>
    <mergeCell ref="E136:E137"/>
    <mergeCell ref="E91:E92"/>
    <mergeCell ref="A91:A92"/>
    <mergeCell ref="C91:C92"/>
    <mergeCell ref="D91:D92"/>
    <mergeCell ref="A66:A67"/>
    <mergeCell ref="C66:C67"/>
    <mergeCell ref="D66:D67"/>
    <mergeCell ref="E66:E67"/>
    <mergeCell ref="C6:F6"/>
    <mergeCell ref="J3:P3"/>
    <mergeCell ref="A68:A69"/>
    <mergeCell ref="C68:C69"/>
    <mergeCell ref="D68:D69"/>
    <mergeCell ref="C134:C135"/>
    <mergeCell ref="D134:D135"/>
    <mergeCell ref="E134:E135"/>
    <mergeCell ref="A89:A90"/>
    <mergeCell ref="C89:C90"/>
    <mergeCell ref="D89:D90"/>
    <mergeCell ref="E89:E90"/>
    <mergeCell ref="E138:E139"/>
    <mergeCell ref="A156:A157"/>
    <mergeCell ref="C156:C157"/>
    <mergeCell ref="D156:D157"/>
    <mergeCell ref="E156:E157"/>
    <mergeCell ref="A93:A94"/>
    <mergeCell ref="C93:C94"/>
    <mergeCell ref="D93:D94"/>
    <mergeCell ref="E93:E94"/>
    <mergeCell ref="A134:A135"/>
    <mergeCell ref="E158:E159"/>
    <mergeCell ref="A194:F194"/>
    <mergeCell ref="A160:A161"/>
    <mergeCell ref="C160:C161"/>
    <mergeCell ref="D160:D161"/>
    <mergeCell ref="E160:E161"/>
    <mergeCell ref="A192:F192"/>
    <mergeCell ref="A193:F193"/>
  </mergeCells>
  <printOptions gridLines="1"/>
  <pageMargins left="0.7086614173228347" right="0.7086614173228347" top="0.7480314960629921" bottom="0.7480314960629921" header="0.31496062992125984" footer="0.31496062992125984"/>
  <pageSetup fitToHeight="0" horizontalDpi="600" verticalDpi="600" orientation="landscape" paperSize="9" scale="39" r:id="rId3"/>
  <rowBreaks count="3" manualBreakCount="3">
    <brk id="55" max="17" man="1"/>
    <brk id="100" max="17" man="1"/>
    <brk id="145" max="17" man="1"/>
  </rowBreaks>
  <legacyDrawing r:id="rId2"/>
</worksheet>
</file>

<file path=xl/worksheets/sheet10.xml><?xml version="1.0" encoding="utf-8"?>
<worksheet xmlns="http://schemas.openxmlformats.org/spreadsheetml/2006/main" xmlns:r="http://schemas.openxmlformats.org/officeDocument/2006/relationships">
  <dimension ref="A1:Q218"/>
  <sheetViews>
    <sheetView zoomScale="90" zoomScaleNormal="90" zoomScalePageLayoutView="0" workbookViewId="0" topLeftCell="A1">
      <pane xSplit="8" ySplit="7" topLeftCell="I8" activePane="bottomRight" state="frozen"/>
      <selection pane="topLeft" activeCell="A1" sqref="A1"/>
      <selection pane="topRight" activeCell="I1" sqref="I1"/>
      <selection pane="bottomLeft" activeCell="A8" sqref="A8"/>
      <selection pane="bottomRight" activeCell="L19" sqref="L19"/>
    </sheetView>
  </sheetViews>
  <sheetFormatPr defaultColWidth="9.140625" defaultRowHeight="12.75"/>
  <cols>
    <col min="1" max="1" width="103.140625" style="156" customWidth="1"/>
    <col min="2" max="2" width="50.57421875" style="156" hidden="1" customWidth="1"/>
    <col min="3" max="3" width="28.140625" style="156" hidden="1" customWidth="1"/>
    <col min="4" max="4" width="20.00390625" style="47" hidden="1" customWidth="1"/>
    <col min="5" max="5" width="13.8515625" style="156" hidden="1" customWidth="1"/>
    <col min="6" max="6" width="8.57421875" style="562" hidden="1" customWidth="1"/>
    <col min="7" max="7" width="14.57421875" style="562" hidden="1" customWidth="1"/>
    <col min="8" max="8" width="17.57421875" style="562" hidden="1" customWidth="1"/>
    <col min="9" max="9" width="17.421875" style="151" hidden="1" customWidth="1"/>
    <col min="10" max="11" width="17.421875" style="151" customWidth="1"/>
    <col min="12" max="12" width="14.421875" style="156" customWidth="1"/>
    <col min="13" max="14" width="9.140625" style="156" hidden="1" customWidth="1"/>
    <col min="15" max="17" width="15.421875" style="156" customWidth="1"/>
    <col min="18" max="16384" width="9.140625" style="156" customWidth="1"/>
  </cols>
  <sheetData>
    <row r="1" spans="2:12" ht="17.25">
      <c r="B1" s="162"/>
      <c r="C1" s="155"/>
      <c r="D1" s="171" t="s">
        <v>555</v>
      </c>
      <c r="E1" s="155"/>
      <c r="F1" s="155"/>
      <c r="G1" s="240"/>
      <c r="H1" s="155"/>
      <c r="I1" s="976" t="s">
        <v>1083</v>
      </c>
      <c r="J1" s="976"/>
      <c r="K1" s="976"/>
      <c r="L1" s="155"/>
    </row>
    <row r="2" spans="1:12" ht="15">
      <c r="A2" s="710" t="s">
        <v>20</v>
      </c>
      <c r="B2" s="155"/>
      <c r="C2" s="155"/>
      <c r="D2" s="166"/>
      <c r="E2" s="155"/>
      <c r="F2" s="155"/>
      <c r="G2" s="240"/>
      <c r="H2" s="155"/>
      <c r="I2" s="255"/>
      <c r="J2" s="255"/>
      <c r="K2" s="255"/>
      <c r="L2" s="155"/>
    </row>
    <row r="3" spans="1:12" ht="17.25">
      <c r="A3" s="373" t="s">
        <v>1516</v>
      </c>
      <c r="B3" s="366"/>
      <c r="C3" s="367"/>
      <c r="D3" s="166"/>
      <c r="E3" s="367"/>
      <c r="F3" s="367"/>
      <c r="G3" s="368"/>
      <c r="H3" s="367"/>
      <c r="I3" s="369"/>
      <c r="J3" s="369"/>
      <c r="K3" s="369"/>
      <c r="L3" s="367"/>
    </row>
    <row r="4" spans="1:12" ht="17.25">
      <c r="A4" s="696" t="s">
        <v>311</v>
      </c>
      <c r="B4" s="366"/>
      <c r="C4" s="367"/>
      <c r="D4" s="166"/>
      <c r="E4" s="367"/>
      <c r="F4" s="367"/>
      <c r="G4" s="368"/>
      <c r="H4" s="367"/>
      <c r="I4" s="369"/>
      <c r="J4" s="369"/>
      <c r="K4" s="369"/>
      <c r="L4" s="367"/>
    </row>
    <row r="5" spans="1:12" ht="17.25">
      <c r="A5" s="373" t="s">
        <v>654</v>
      </c>
      <c r="B5" s="366"/>
      <c r="C5" s="367"/>
      <c r="D5" s="166"/>
      <c r="E5" s="367"/>
      <c r="F5" s="367"/>
      <c r="G5" s="368"/>
      <c r="H5" s="367"/>
      <c r="I5" s="369"/>
      <c r="J5" s="369"/>
      <c r="K5" s="369"/>
      <c r="L5" s="367"/>
    </row>
    <row r="6" spans="1:12" ht="13.5">
      <c r="A6" s="367"/>
      <c r="B6" s="367"/>
      <c r="C6" s="367"/>
      <c r="D6" s="166"/>
      <c r="E6" s="367"/>
      <c r="F6" s="367"/>
      <c r="G6" s="368"/>
      <c r="H6" s="367"/>
      <c r="I6" s="369"/>
      <c r="J6" s="369"/>
      <c r="K6" s="369"/>
      <c r="L6" s="367"/>
    </row>
    <row r="7" spans="1:17" ht="59.25" customHeight="1">
      <c r="A7" s="373" t="s">
        <v>1068</v>
      </c>
      <c r="B7" s="370" t="s">
        <v>567</v>
      </c>
      <c r="C7" s="160" t="s">
        <v>568</v>
      </c>
      <c r="D7" s="167" t="s">
        <v>566</v>
      </c>
      <c r="E7" s="371" t="s">
        <v>372</v>
      </c>
      <c r="F7" s="170" t="s">
        <v>825</v>
      </c>
      <c r="G7" s="241" t="s">
        <v>921</v>
      </c>
      <c r="H7" s="170" t="s">
        <v>965</v>
      </c>
      <c r="I7" s="664" t="s">
        <v>1281</v>
      </c>
      <c r="J7" s="664" t="s">
        <v>1280</v>
      </c>
      <c r="K7" s="664" t="s">
        <v>1512</v>
      </c>
      <c r="L7" s="371" t="s">
        <v>372</v>
      </c>
      <c r="O7" s="660" t="s">
        <v>1513</v>
      </c>
      <c r="P7" s="661" t="s">
        <v>1514</v>
      </c>
      <c r="Q7" s="661"/>
    </row>
    <row r="8" spans="1:12" ht="13.5">
      <c r="A8" s="367"/>
      <c r="B8" s="367"/>
      <c r="C8" s="160" t="s">
        <v>569</v>
      </c>
      <c r="D8" s="167" t="s">
        <v>569</v>
      </c>
      <c r="E8" s="371" t="s">
        <v>371</v>
      </c>
      <c r="F8" s="167" t="s">
        <v>569</v>
      </c>
      <c r="G8" s="161"/>
      <c r="H8" s="167"/>
      <c r="I8" s="372"/>
      <c r="J8" s="372"/>
      <c r="K8" s="372"/>
      <c r="L8" s="371"/>
    </row>
    <row r="9" spans="1:16" ht="13.5">
      <c r="A9" s="371" t="s">
        <v>1246</v>
      </c>
      <c r="B9" s="373"/>
      <c r="C9" s="367"/>
      <c r="D9" s="166"/>
      <c r="E9" s="367"/>
      <c r="F9" s="367"/>
      <c r="G9" s="368"/>
      <c r="H9" s="374" t="s">
        <v>366</v>
      </c>
      <c r="I9" s="375" t="s">
        <v>366</v>
      </c>
      <c r="J9" s="375" t="s">
        <v>366</v>
      </c>
      <c r="K9" s="375"/>
      <c r="L9" s="376">
        <v>0.06</v>
      </c>
      <c r="O9" s="375" t="s">
        <v>366</v>
      </c>
      <c r="P9" s="375" t="s">
        <v>366</v>
      </c>
    </row>
    <row r="10" spans="1:16" ht="13.5">
      <c r="A10" s="564"/>
      <c r="B10" s="163"/>
      <c r="C10" s="163"/>
      <c r="D10" s="166"/>
      <c r="E10" s="377"/>
      <c r="F10" s="382"/>
      <c r="G10" s="81"/>
      <c r="H10" s="273"/>
      <c r="I10" s="273"/>
      <c r="J10" s="273"/>
      <c r="K10" s="273"/>
      <c r="L10" s="379"/>
      <c r="O10" s="376">
        <v>0</v>
      </c>
      <c r="P10" s="376">
        <v>0</v>
      </c>
    </row>
    <row r="11" spans="1:12" ht="13.5">
      <c r="A11" s="160" t="s">
        <v>1149</v>
      </c>
      <c r="B11" s="160"/>
      <c r="C11" s="160"/>
      <c r="D11" s="161"/>
      <c r="E11" s="385"/>
      <c r="F11" s="386"/>
      <c r="G11" s="83"/>
      <c r="H11" s="273"/>
      <c r="I11" s="273"/>
      <c r="J11" s="273"/>
      <c r="K11" s="273"/>
      <c r="L11" s="379"/>
    </row>
    <row r="12" spans="1:12" ht="13.5">
      <c r="A12" s="160" t="s">
        <v>1258</v>
      </c>
      <c r="B12" s="160"/>
      <c r="C12" s="160"/>
      <c r="D12" s="167"/>
      <c r="E12" s="385"/>
      <c r="F12" s="386"/>
      <c r="G12" s="83"/>
      <c r="H12" s="273"/>
      <c r="I12" s="273"/>
      <c r="J12" s="273"/>
      <c r="K12" s="273"/>
      <c r="L12" s="379"/>
    </row>
    <row r="13" spans="1:16" ht="13.5">
      <c r="A13" s="3" t="s">
        <v>580</v>
      </c>
      <c r="B13" s="160"/>
      <c r="C13" s="160"/>
      <c r="D13" s="167"/>
      <c r="E13" s="385"/>
      <c r="F13" s="386"/>
      <c r="G13" s="83"/>
      <c r="H13" s="273"/>
      <c r="I13" s="265">
        <v>25.64668396160642</v>
      </c>
      <c r="J13" s="265">
        <v>27.185484999302805</v>
      </c>
      <c r="K13" s="265">
        <f>(J13*L13)+J13</f>
        <v>28.816614099260974</v>
      </c>
      <c r="L13" s="111">
        <f aca="true" t="shared" si="0" ref="L13:L76">$L$9</f>
        <v>0.06</v>
      </c>
      <c r="O13" s="265">
        <f>(K13*$O$10)+K13</f>
        <v>28.816614099260974</v>
      </c>
      <c r="P13" s="265">
        <f>(O13*$P$10)+O13</f>
        <v>28.816614099260974</v>
      </c>
    </row>
    <row r="14" spans="1:16" ht="13.5">
      <c r="A14" s="3" t="s">
        <v>581</v>
      </c>
      <c r="B14" s="160"/>
      <c r="C14" s="160"/>
      <c r="D14" s="167"/>
      <c r="E14" s="385"/>
      <c r="F14" s="386"/>
      <c r="G14" s="83"/>
      <c r="H14" s="273"/>
      <c r="I14" s="265">
        <v>131.89723180254725</v>
      </c>
      <c r="J14" s="265">
        <v>139.8110657107001</v>
      </c>
      <c r="K14" s="265">
        <f aca="true" t="shared" si="1" ref="K14:K77">(J14*L14)+J14</f>
        <v>148.1997296533421</v>
      </c>
      <c r="L14" s="111">
        <f t="shared" si="0"/>
        <v>0.06</v>
      </c>
      <c r="O14" s="265">
        <f aca="true" t="shared" si="2" ref="O14:O23">(K14*$O$10)+K14</f>
        <v>148.1997296533421</v>
      </c>
      <c r="P14" s="265">
        <f aca="true" t="shared" si="3" ref="P14:P25">(O14*$P$10)+O14</f>
        <v>148.1997296533421</v>
      </c>
    </row>
    <row r="15" spans="1:16" ht="13.5">
      <c r="A15" s="3" t="s">
        <v>582</v>
      </c>
      <c r="B15" s="160"/>
      <c r="C15" s="160"/>
      <c r="D15" s="167"/>
      <c r="E15" s="385"/>
      <c r="F15" s="386"/>
      <c r="G15" s="83"/>
      <c r="H15" s="273"/>
      <c r="I15" s="265">
        <v>45.797649931440034</v>
      </c>
      <c r="J15" s="265">
        <v>48.54550892732644</v>
      </c>
      <c r="K15" s="265">
        <f t="shared" si="1"/>
        <v>51.45823946296603</v>
      </c>
      <c r="L15" s="111">
        <f t="shared" si="0"/>
        <v>0.06</v>
      </c>
      <c r="O15" s="265">
        <f t="shared" si="2"/>
        <v>51.45823946296603</v>
      </c>
      <c r="P15" s="265">
        <f t="shared" si="3"/>
        <v>51.45823946296603</v>
      </c>
    </row>
    <row r="16" spans="1:16" s="559" customFormat="1" ht="13.5">
      <c r="A16" s="783" t="s">
        <v>583</v>
      </c>
      <c r="B16" s="505"/>
      <c r="C16" s="505"/>
      <c r="D16" s="506"/>
      <c r="E16" s="507"/>
      <c r="F16" s="403"/>
      <c r="G16" s="508"/>
      <c r="H16" s="509"/>
      <c r="I16" s="441">
        <v>183.19059972576014</v>
      </c>
      <c r="J16" s="441">
        <v>194.18203570930575</v>
      </c>
      <c r="K16" s="441">
        <f t="shared" si="1"/>
        <v>219.6198823872248</v>
      </c>
      <c r="L16" s="784">
        <f>13.1%</f>
        <v>0.131</v>
      </c>
      <c r="O16" s="441">
        <f t="shared" si="2"/>
        <v>219.6198823872248</v>
      </c>
      <c r="P16" s="441">
        <f t="shared" si="3"/>
        <v>219.6198823872248</v>
      </c>
    </row>
    <row r="17" spans="1:16" ht="13.5">
      <c r="A17" s="3" t="s">
        <v>584</v>
      </c>
      <c r="B17" s="160"/>
      <c r="C17" s="160"/>
      <c r="D17" s="167"/>
      <c r="E17" s="385"/>
      <c r="F17" s="386"/>
      <c r="G17" s="83"/>
      <c r="H17" s="273"/>
      <c r="I17" s="265">
        <v>10.991435983545605</v>
      </c>
      <c r="J17" s="265">
        <v>11.650922142558342</v>
      </c>
      <c r="K17" s="265">
        <f t="shared" si="1"/>
        <v>11.650922142558342</v>
      </c>
      <c r="L17" s="111">
        <v>0</v>
      </c>
      <c r="O17" s="265">
        <f t="shared" si="2"/>
        <v>11.650922142558342</v>
      </c>
      <c r="P17" s="265">
        <f t="shared" si="3"/>
        <v>11.650922142558342</v>
      </c>
    </row>
    <row r="18" spans="1:16" ht="13.5">
      <c r="A18" s="3" t="s">
        <v>585</v>
      </c>
      <c r="B18" s="160"/>
      <c r="C18" s="160"/>
      <c r="D18" s="167"/>
      <c r="E18" s="385"/>
      <c r="F18" s="386"/>
      <c r="G18" s="83"/>
      <c r="H18" s="273"/>
      <c r="I18" s="265">
        <v>21.98287196709121</v>
      </c>
      <c r="J18" s="265">
        <v>23.301844285116683</v>
      </c>
      <c r="K18" s="265">
        <f t="shared" si="1"/>
        <v>23.301844285116683</v>
      </c>
      <c r="L18" s="111">
        <v>0</v>
      </c>
      <c r="O18" s="265">
        <f t="shared" si="2"/>
        <v>23.301844285116683</v>
      </c>
      <c r="P18" s="265">
        <f t="shared" si="3"/>
        <v>23.301844285116683</v>
      </c>
    </row>
    <row r="19" spans="1:16" ht="13.5">
      <c r="A19" s="163" t="s">
        <v>225</v>
      </c>
      <c r="B19" s="163">
        <v>1310</v>
      </c>
      <c r="C19" s="381">
        <v>251.68</v>
      </c>
      <c r="D19" s="166">
        <v>276.848</v>
      </c>
      <c r="E19" s="377">
        <v>0.10000000000000002</v>
      </c>
      <c r="F19" s="387">
        <v>320</v>
      </c>
      <c r="G19" s="81">
        <v>339.20000000000005</v>
      </c>
      <c r="H19" s="273">
        <f>G19*1.06</f>
        <v>359.5520000000001</v>
      </c>
      <c r="I19" s="273">
        <v>381.1251200000001</v>
      </c>
      <c r="J19" s="273">
        <v>403.99262720000013</v>
      </c>
      <c r="K19" s="265">
        <f t="shared" si="1"/>
        <v>504.9907840000002</v>
      </c>
      <c r="L19" s="379">
        <v>0.25</v>
      </c>
      <c r="O19" s="265">
        <f t="shared" si="2"/>
        <v>504.9907840000002</v>
      </c>
      <c r="P19" s="265">
        <f t="shared" si="3"/>
        <v>504.9907840000002</v>
      </c>
    </row>
    <row r="20" spans="1:16" ht="13.5">
      <c r="A20" s="174" t="s">
        <v>1150</v>
      </c>
      <c r="B20" s="174">
        <v>1310</v>
      </c>
      <c r="C20" s="174">
        <v>2515.59</v>
      </c>
      <c r="D20" s="166">
        <v>2767.1490000000003</v>
      </c>
      <c r="E20" s="377">
        <v>0.10000000000000007</v>
      </c>
      <c r="F20" s="387">
        <v>3198</v>
      </c>
      <c r="G20" s="81">
        <v>3389.88</v>
      </c>
      <c r="H20" s="273">
        <f>G20*1.06</f>
        <v>3593.2728</v>
      </c>
      <c r="I20" s="273">
        <v>3808.869168</v>
      </c>
      <c r="J20" s="273">
        <v>4037.4013180800002</v>
      </c>
      <c r="K20" s="265">
        <f t="shared" si="1"/>
        <v>4037.4013180800002</v>
      </c>
      <c r="L20" s="379">
        <v>0</v>
      </c>
      <c r="O20" s="265">
        <f t="shared" si="2"/>
        <v>4037.4013180800002</v>
      </c>
      <c r="P20" s="265">
        <f t="shared" si="3"/>
        <v>4037.4013180800002</v>
      </c>
    </row>
    <row r="21" spans="1:16" ht="13.5">
      <c r="A21" s="174" t="s">
        <v>1151</v>
      </c>
      <c r="B21" s="174"/>
      <c r="C21" s="174"/>
      <c r="D21" s="166"/>
      <c r="E21" s="377"/>
      <c r="F21" s="378"/>
      <c r="G21" s="81"/>
      <c r="H21" s="286" t="s">
        <v>1152</v>
      </c>
      <c r="I21" s="273" t="s">
        <v>1184</v>
      </c>
      <c r="J21" s="286">
        <v>1700</v>
      </c>
      <c r="K21" s="265">
        <f t="shared" si="1"/>
        <v>1802</v>
      </c>
      <c r="L21" s="379">
        <f t="shared" si="0"/>
        <v>0.06</v>
      </c>
      <c r="O21" s="265">
        <f t="shared" si="2"/>
        <v>1802</v>
      </c>
      <c r="P21" s="265">
        <f t="shared" si="3"/>
        <v>1802</v>
      </c>
    </row>
    <row r="22" spans="1:16" s="559" customFormat="1" ht="13.5">
      <c r="A22" s="505" t="s">
        <v>1153</v>
      </c>
      <c r="B22" s="505"/>
      <c r="C22" s="505"/>
      <c r="D22" s="506"/>
      <c r="E22" s="507"/>
      <c r="F22" s="387"/>
      <c r="G22" s="508"/>
      <c r="H22" s="785" t="s">
        <v>1152</v>
      </c>
      <c r="I22" s="509" t="s">
        <v>1184</v>
      </c>
      <c r="J22" s="785">
        <v>1100</v>
      </c>
      <c r="K22" s="441">
        <v>4400</v>
      </c>
      <c r="L22" s="510">
        <f>(K22-J22)/J22</f>
        <v>3</v>
      </c>
      <c r="O22" s="441">
        <f t="shared" si="2"/>
        <v>4400</v>
      </c>
      <c r="P22" s="441">
        <f t="shared" si="3"/>
        <v>4400</v>
      </c>
    </row>
    <row r="23" spans="1:16" ht="13.5">
      <c r="A23" s="163" t="s">
        <v>1285</v>
      </c>
      <c r="B23" s="163">
        <v>1310</v>
      </c>
      <c r="C23" s="174">
        <v>941.38</v>
      </c>
      <c r="D23" s="166">
        <v>1035.518</v>
      </c>
      <c r="E23" s="377">
        <v>0.10000000000000003</v>
      </c>
      <c r="F23" s="387">
        <v>1197</v>
      </c>
      <c r="G23" s="81">
        <v>1268.8200000000002</v>
      </c>
      <c r="H23" s="273">
        <f>G23*1.06</f>
        <v>1344.9492000000002</v>
      </c>
      <c r="I23" s="273">
        <v>1425.6461520000003</v>
      </c>
      <c r="J23" s="273">
        <v>1511.1849211200004</v>
      </c>
      <c r="K23" s="265">
        <f t="shared" si="1"/>
        <v>1601.8560163872003</v>
      </c>
      <c r="L23" s="379">
        <f t="shared" si="0"/>
        <v>0.06</v>
      </c>
      <c r="O23" s="265">
        <f t="shared" si="2"/>
        <v>1601.8560163872003</v>
      </c>
      <c r="P23" s="265">
        <f t="shared" si="3"/>
        <v>1601.8560163872003</v>
      </c>
    </row>
    <row r="24" spans="1:16" s="559" customFormat="1" ht="27">
      <c r="A24" s="564" t="s">
        <v>1286</v>
      </c>
      <c r="B24" s="564">
        <v>1310</v>
      </c>
      <c r="C24" s="505">
        <v>151.25</v>
      </c>
      <c r="D24" s="506">
        <v>166.375</v>
      </c>
      <c r="E24" s="507">
        <v>0.1</v>
      </c>
      <c r="F24" s="387">
        <v>192</v>
      </c>
      <c r="G24" s="508">
        <v>203.52</v>
      </c>
      <c r="H24" s="509">
        <f>G24*1.06</f>
        <v>215.73120000000003</v>
      </c>
      <c r="I24" s="509">
        <v>228.67507200000003</v>
      </c>
      <c r="J24" s="509">
        <v>242.39557632000003</v>
      </c>
      <c r="K24" s="569" t="s">
        <v>1275</v>
      </c>
      <c r="L24" s="510"/>
      <c r="O24" s="569" t="s">
        <v>1275</v>
      </c>
      <c r="P24" s="569" t="s">
        <v>1275</v>
      </c>
    </row>
    <row r="25" spans="1:16" ht="13.5">
      <c r="A25" s="163" t="s">
        <v>1154</v>
      </c>
      <c r="B25" s="163">
        <v>1310</v>
      </c>
      <c r="C25" s="163">
        <v>941.38</v>
      </c>
      <c r="D25" s="166">
        <v>1035.518</v>
      </c>
      <c r="E25" s="377">
        <v>0.10000000000000003</v>
      </c>
      <c r="F25" s="387">
        <v>1197</v>
      </c>
      <c r="G25" s="81">
        <v>1268.8200000000002</v>
      </c>
      <c r="H25" s="273">
        <f>G25*1.06</f>
        <v>1344.9492000000002</v>
      </c>
      <c r="I25" s="273">
        <v>1425.6461520000003</v>
      </c>
      <c r="J25" s="273">
        <v>1511.1849211200004</v>
      </c>
      <c r="K25" s="265">
        <f t="shared" si="1"/>
        <v>1601.8560163872003</v>
      </c>
      <c r="L25" s="379">
        <f t="shared" si="0"/>
        <v>0.06</v>
      </c>
      <c r="O25" s="265">
        <f>(K25*$O$10)+K25</f>
        <v>1601.8560163872003</v>
      </c>
      <c r="P25" s="265">
        <f t="shared" si="3"/>
        <v>1601.8560163872003</v>
      </c>
    </row>
    <row r="26" spans="1:16" s="568" customFormat="1" ht="40.5">
      <c r="A26" s="774" t="s">
        <v>1292</v>
      </c>
      <c r="B26" s="774">
        <v>1310</v>
      </c>
      <c r="C26" s="775" t="s">
        <v>570</v>
      </c>
      <c r="D26" s="776" t="s">
        <v>755</v>
      </c>
      <c r="E26" s="777">
        <v>0.1</v>
      </c>
      <c r="F26" s="778" t="s">
        <v>961</v>
      </c>
      <c r="G26" s="779" t="s">
        <v>992</v>
      </c>
      <c r="H26" s="569" t="s">
        <v>993</v>
      </c>
      <c r="I26" s="569" t="s">
        <v>1293</v>
      </c>
      <c r="J26" s="569" t="s">
        <v>1294</v>
      </c>
      <c r="K26" s="524" t="s">
        <v>1296</v>
      </c>
      <c r="L26" s="780"/>
      <c r="O26" s="524" t="s">
        <v>1274</v>
      </c>
      <c r="P26" s="524" t="s">
        <v>1274</v>
      </c>
    </row>
    <row r="27" spans="1:16" ht="40.5">
      <c r="A27" s="769" t="s">
        <v>226</v>
      </c>
      <c r="B27" s="769">
        <v>1310</v>
      </c>
      <c r="C27" s="769" t="s">
        <v>571</v>
      </c>
      <c r="D27" s="173" t="s">
        <v>755</v>
      </c>
      <c r="E27" s="389">
        <v>0.1</v>
      </c>
      <c r="F27" s="390" t="s">
        <v>961</v>
      </c>
      <c r="G27" s="68" t="s">
        <v>992</v>
      </c>
      <c r="H27" s="286" t="s">
        <v>993</v>
      </c>
      <c r="I27" s="286" t="s">
        <v>1287</v>
      </c>
      <c r="J27" s="286" t="s">
        <v>1155</v>
      </c>
      <c r="K27" s="286" t="s">
        <v>1298</v>
      </c>
      <c r="L27" s="379">
        <f t="shared" si="0"/>
        <v>0.06</v>
      </c>
      <c r="O27" s="286" t="s">
        <v>1155</v>
      </c>
      <c r="P27" s="286" t="s">
        <v>1155</v>
      </c>
    </row>
    <row r="28" spans="1:16" ht="40.5">
      <c r="A28" s="769" t="s">
        <v>227</v>
      </c>
      <c r="B28" s="769">
        <v>1310</v>
      </c>
      <c r="C28" s="769" t="s">
        <v>570</v>
      </c>
      <c r="D28" s="173" t="s">
        <v>755</v>
      </c>
      <c r="E28" s="389">
        <v>0.1</v>
      </c>
      <c r="F28" s="390" t="s">
        <v>961</v>
      </c>
      <c r="G28" s="68" t="s">
        <v>992</v>
      </c>
      <c r="H28" s="286" t="s">
        <v>994</v>
      </c>
      <c r="I28" s="286" t="s">
        <v>1288</v>
      </c>
      <c r="J28" s="286" t="s">
        <v>1155</v>
      </c>
      <c r="K28" s="286" t="s">
        <v>1298</v>
      </c>
      <c r="L28" s="379">
        <f t="shared" si="0"/>
        <v>0.06</v>
      </c>
      <c r="O28" s="286" t="s">
        <v>1155</v>
      </c>
      <c r="P28" s="286" t="s">
        <v>1155</v>
      </c>
    </row>
    <row r="29" spans="1:16" ht="40.5">
      <c r="A29" s="769" t="s">
        <v>228</v>
      </c>
      <c r="B29" s="769">
        <v>1310</v>
      </c>
      <c r="C29" s="769" t="s">
        <v>570</v>
      </c>
      <c r="D29" s="173" t="s">
        <v>755</v>
      </c>
      <c r="E29" s="389">
        <v>0.1</v>
      </c>
      <c r="F29" s="390" t="s">
        <v>961</v>
      </c>
      <c r="G29" s="68" t="s">
        <v>992</v>
      </c>
      <c r="H29" s="286" t="s">
        <v>994</v>
      </c>
      <c r="I29" s="286" t="s">
        <v>1288</v>
      </c>
      <c r="J29" s="286" t="s">
        <v>1155</v>
      </c>
      <c r="K29" s="286" t="s">
        <v>1298</v>
      </c>
      <c r="L29" s="379">
        <f t="shared" si="0"/>
        <v>0.06</v>
      </c>
      <c r="O29" s="286" t="s">
        <v>1155</v>
      </c>
      <c r="P29" s="286" t="s">
        <v>1155</v>
      </c>
    </row>
    <row r="30" spans="1:16" ht="40.5">
      <c r="A30" s="769" t="s">
        <v>229</v>
      </c>
      <c r="B30" s="769">
        <v>1310</v>
      </c>
      <c r="C30" s="770" t="s">
        <v>570</v>
      </c>
      <c r="D30" s="771" t="s">
        <v>755</v>
      </c>
      <c r="E30" s="389">
        <v>0.1</v>
      </c>
      <c r="F30" s="390" t="s">
        <v>961</v>
      </c>
      <c r="G30" s="68" t="s">
        <v>992</v>
      </c>
      <c r="H30" s="286" t="s">
        <v>994</v>
      </c>
      <c r="I30" s="286" t="s">
        <v>1288</v>
      </c>
      <c r="J30" s="286" t="s">
        <v>1155</v>
      </c>
      <c r="K30" s="286" t="s">
        <v>1298</v>
      </c>
      <c r="L30" s="379">
        <f t="shared" si="0"/>
        <v>0.06</v>
      </c>
      <c r="O30" s="286" t="s">
        <v>1155</v>
      </c>
      <c r="P30" s="286" t="s">
        <v>1155</v>
      </c>
    </row>
    <row r="31" spans="1:16" ht="13.5">
      <c r="A31" s="163" t="s">
        <v>232</v>
      </c>
      <c r="B31" s="163">
        <v>1310</v>
      </c>
      <c r="C31" s="391">
        <v>373.89</v>
      </c>
      <c r="D31" s="384">
        <v>411.279</v>
      </c>
      <c r="E31" s="377">
        <v>0.10000000000000003</v>
      </c>
      <c r="F31" s="387">
        <v>475</v>
      </c>
      <c r="G31" s="81">
        <v>503.5</v>
      </c>
      <c r="H31" s="273">
        <f>G31*1.06</f>
        <v>533.71</v>
      </c>
      <c r="I31" s="273">
        <v>565.7326</v>
      </c>
      <c r="J31" s="273">
        <v>599.676556</v>
      </c>
      <c r="K31" s="265">
        <f t="shared" si="1"/>
        <v>635.65714936</v>
      </c>
      <c r="L31" s="379">
        <f t="shared" si="0"/>
        <v>0.06</v>
      </c>
      <c r="O31" s="265">
        <f aca="true" t="shared" si="4" ref="O31:O38">(K31*$O$10)+K31</f>
        <v>635.65714936</v>
      </c>
      <c r="P31" s="265">
        <f>(O31*$P$10)+O31</f>
        <v>635.65714936</v>
      </c>
    </row>
    <row r="32" spans="1:16" ht="13.5">
      <c r="A32" s="163" t="s">
        <v>230</v>
      </c>
      <c r="B32" s="163">
        <v>1310</v>
      </c>
      <c r="C32" s="391">
        <v>2515.59</v>
      </c>
      <c r="D32" s="384">
        <v>2767.1490000000003</v>
      </c>
      <c r="E32" s="377">
        <v>0.10000000000000007</v>
      </c>
      <c r="F32" s="387">
        <v>3198</v>
      </c>
      <c r="G32" s="81">
        <v>3389.88</v>
      </c>
      <c r="H32" s="273">
        <f>G32*1.06</f>
        <v>3593.2728</v>
      </c>
      <c r="I32" s="273">
        <v>3808.869168</v>
      </c>
      <c r="J32" s="273">
        <v>4037.4013180800002</v>
      </c>
      <c r="K32" s="265">
        <f t="shared" si="1"/>
        <v>4279.645397164801</v>
      </c>
      <c r="L32" s="379">
        <f t="shared" si="0"/>
        <v>0.06</v>
      </c>
      <c r="O32" s="265">
        <f t="shared" si="4"/>
        <v>4279.645397164801</v>
      </c>
      <c r="P32" s="265">
        <f>(O32*$P$10)+O32</f>
        <v>4279.645397164801</v>
      </c>
    </row>
    <row r="33" spans="1:16" ht="13.5">
      <c r="A33" s="174" t="s">
        <v>1156</v>
      </c>
      <c r="B33" s="174"/>
      <c r="C33" s="772"/>
      <c r="D33" s="168"/>
      <c r="E33" s="377"/>
      <c r="F33" s="378"/>
      <c r="G33" s="81"/>
      <c r="H33" s="286" t="s">
        <v>1152</v>
      </c>
      <c r="I33" s="273" t="s">
        <v>1184</v>
      </c>
      <c r="J33" s="286">
        <v>5000</v>
      </c>
      <c r="K33" s="265">
        <f t="shared" si="1"/>
        <v>5000</v>
      </c>
      <c r="L33" s="379">
        <v>0</v>
      </c>
      <c r="O33" s="265">
        <f t="shared" si="4"/>
        <v>5000</v>
      </c>
      <c r="P33" s="265">
        <f>(O33*$P$10)+O33</f>
        <v>5000</v>
      </c>
    </row>
    <row r="34" spans="1:15" ht="13.5">
      <c r="A34" s="160" t="s">
        <v>1157</v>
      </c>
      <c r="B34" s="160"/>
      <c r="C34" s="512"/>
      <c r="D34" s="513"/>
      <c r="E34" s="385"/>
      <c r="F34" s="514"/>
      <c r="G34" s="83"/>
      <c r="H34" s="515"/>
      <c r="I34" s="515"/>
      <c r="J34" s="515"/>
      <c r="K34" s="265"/>
      <c r="L34" s="516"/>
      <c r="O34" s="265"/>
    </row>
    <row r="35" spans="1:16" ht="13.5">
      <c r="A35" s="163" t="s">
        <v>231</v>
      </c>
      <c r="B35" s="163">
        <v>1310</v>
      </c>
      <c r="C35" s="391">
        <v>344.85</v>
      </c>
      <c r="D35" s="384">
        <v>379.33500000000004</v>
      </c>
      <c r="E35" s="377">
        <v>0.10000000000000003</v>
      </c>
      <c r="F35" s="387">
        <v>438</v>
      </c>
      <c r="G35" s="81">
        <v>464.28000000000003</v>
      </c>
      <c r="H35" s="273">
        <f>G35*1.06</f>
        <v>492.13680000000005</v>
      </c>
      <c r="I35" s="273">
        <v>521.6650080000001</v>
      </c>
      <c r="J35" s="273">
        <v>552.9649084800001</v>
      </c>
      <c r="K35" s="265">
        <f t="shared" si="1"/>
        <v>552.9649084800001</v>
      </c>
      <c r="L35" s="379">
        <v>0</v>
      </c>
      <c r="O35" s="265">
        <f t="shared" si="4"/>
        <v>552.9649084800001</v>
      </c>
      <c r="P35" s="265">
        <f>(O35*$P$10)+O35</f>
        <v>552.9649084800001</v>
      </c>
    </row>
    <row r="36" spans="1:16" ht="13.5">
      <c r="A36" s="163" t="s">
        <v>402</v>
      </c>
      <c r="B36" s="163">
        <v>1310</v>
      </c>
      <c r="C36" s="391">
        <v>762.3</v>
      </c>
      <c r="D36" s="384">
        <v>838.53</v>
      </c>
      <c r="E36" s="377">
        <v>0.10000000000000003</v>
      </c>
      <c r="F36" s="387">
        <v>969</v>
      </c>
      <c r="G36" s="81">
        <v>1027.14</v>
      </c>
      <c r="H36" s="273">
        <f>G36*1.06</f>
        <v>1088.7684000000002</v>
      </c>
      <c r="I36" s="273">
        <v>1154.0945040000001</v>
      </c>
      <c r="J36" s="273">
        <v>1223.3401742400001</v>
      </c>
      <c r="K36" s="265">
        <f t="shared" si="1"/>
        <v>1223.3401742400001</v>
      </c>
      <c r="L36" s="379">
        <v>0</v>
      </c>
      <c r="O36" s="265">
        <f t="shared" si="4"/>
        <v>1223.3401742400001</v>
      </c>
      <c r="P36" s="265">
        <f>(O36*$P$10)+O36</f>
        <v>1223.3401742400001</v>
      </c>
    </row>
    <row r="37" spans="1:16" ht="13.5">
      <c r="A37" s="174" t="s">
        <v>1158</v>
      </c>
      <c r="B37" s="174"/>
      <c r="C37" s="772"/>
      <c r="D37" s="168"/>
      <c r="E37" s="377"/>
      <c r="F37" s="378"/>
      <c r="G37" s="81"/>
      <c r="H37" s="286" t="s">
        <v>1152</v>
      </c>
      <c r="I37" s="273" t="s">
        <v>1184</v>
      </c>
      <c r="J37" s="286">
        <v>3500</v>
      </c>
      <c r="K37" s="265">
        <f t="shared" si="1"/>
        <v>3500</v>
      </c>
      <c r="L37" s="379">
        <v>0</v>
      </c>
      <c r="O37" s="265">
        <f t="shared" si="4"/>
        <v>3500</v>
      </c>
      <c r="P37" s="265">
        <f>(O37*$P$10)+O37</f>
        <v>3500</v>
      </c>
    </row>
    <row r="38" spans="1:16" ht="13.5">
      <c r="A38" s="174" t="s">
        <v>1159</v>
      </c>
      <c r="B38" s="174"/>
      <c r="C38" s="772"/>
      <c r="D38" s="168"/>
      <c r="E38" s="377"/>
      <c r="F38" s="378"/>
      <c r="G38" s="81"/>
      <c r="H38" s="286" t="s">
        <v>1152</v>
      </c>
      <c r="I38" s="273" t="s">
        <v>1184</v>
      </c>
      <c r="J38" s="286">
        <v>50</v>
      </c>
      <c r="K38" s="265">
        <f t="shared" si="1"/>
        <v>50</v>
      </c>
      <c r="L38" s="379">
        <v>0</v>
      </c>
      <c r="O38" s="265">
        <f t="shared" si="4"/>
        <v>50</v>
      </c>
      <c r="P38" s="265">
        <f>(O38*$P$10)+O38</f>
        <v>50</v>
      </c>
    </row>
    <row r="39" spans="1:15" ht="13.5">
      <c r="A39" s="163"/>
      <c r="B39" s="163"/>
      <c r="C39" s="381"/>
      <c r="D39" s="166"/>
      <c r="E39" s="377"/>
      <c r="F39" s="367"/>
      <c r="G39" s="274"/>
      <c r="H39" s="273"/>
      <c r="I39" s="273"/>
      <c r="J39" s="273"/>
      <c r="K39" s="265"/>
      <c r="L39" s="379"/>
      <c r="O39" s="265"/>
    </row>
    <row r="40" spans="1:15" ht="13.5">
      <c r="A40" s="371" t="s">
        <v>1295</v>
      </c>
      <c r="B40" s="371"/>
      <c r="C40" s="371"/>
      <c r="D40" s="161"/>
      <c r="E40" s="385"/>
      <c r="F40" s="392"/>
      <c r="G40" s="393"/>
      <c r="H40" s="273"/>
      <c r="I40" s="273"/>
      <c r="J40" s="273"/>
      <c r="K40" s="265"/>
      <c r="L40" s="379"/>
      <c r="O40" s="265"/>
    </row>
    <row r="41" spans="1:15" ht="13.5">
      <c r="A41" s="160" t="s">
        <v>403</v>
      </c>
      <c r="B41" s="160"/>
      <c r="C41" s="394"/>
      <c r="D41" s="161"/>
      <c r="E41" s="385"/>
      <c r="F41" s="392"/>
      <c r="G41" s="393"/>
      <c r="H41" s="273"/>
      <c r="I41" s="273"/>
      <c r="J41" s="273"/>
      <c r="K41" s="265"/>
      <c r="L41" s="379"/>
      <c r="O41" s="265"/>
    </row>
    <row r="42" spans="1:16" ht="13.5">
      <c r="A42" s="383">
        <v>30</v>
      </c>
      <c r="B42" s="163">
        <v>1310</v>
      </c>
      <c r="C42" s="163">
        <v>457.38</v>
      </c>
      <c r="D42" s="166">
        <v>503.11800000000005</v>
      </c>
      <c r="E42" s="377">
        <v>0.10000000000000013</v>
      </c>
      <c r="F42" s="387">
        <v>581</v>
      </c>
      <c r="G42" s="81">
        <v>615.86</v>
      </c>
      <c r="H42" s="273">
        <f aca="true" t="shared" si="5" ref="H42:H105">G42*1.06</f>
        <v>652.8116</v>
      </c>
      <c r="I42" s="273">
        <v>691.980296</v>
      </c>
      <c r="J42" s="273">
        <v>733.49911376</v>
      </c>
      <c r="K42" s="265">
        <f t="shared" si="1"/>
        <v>777.5090605856</v>
      </c>
      <c r="L42" s="379">
        <f t="shared" si="0"/>
        <v>0.06</v>
      </c>
      <c r="O42" s="265">
        <f aca="true" t="shared" si="6" ref="O42:O105">(K42*$O$10)+K42</f>
        <v>777.5090605856</v>
      </c>
      <c r="P42" s="265">
        <f aca="true" t="shared" si="7" ref="P42:P105">(O42*$P$10)+O42</f>
        <v>777.5090605856</v>
      </c>
    </row>
    <row r="43" spans="1:16" ht="13.5">
      <c r="A43" s="395">
        <v>40</v>
      </c>
      <c r="B43" s="174">
        <v>1310</v>
      </c>
      <c r="C43" s="174">
        <v>457.38</v>
      </c>
      <c r="D43" s="166">
        <v>503.11800000000005</v>
      </c>
      <c r="E43" s="377">
        <v>0.10000000000000013</v>
      </c>
      <c r="F43" s="387">
        <v>581</v>
      </c>
      <c r="G43" s="81">
        <v>615.86</v>
      </c>
      <c r="H43" s="273">
        <f t="shared" si="5"/>
        <v>652.8116</v>
      </c>
      <c r="I43" s="273">
        <v>691.980296</v>
      </c>
      <c r="J43" s="273">
        <v>733.49911376</v>
      </c>
      <c r="K43" s="265">
        <f t="shared" si="1"/>
        <v>777.5090605856</v>
      </c>
      <c r="L43" s="379">
        <f t="shared" si="0"/>
        <v>0.06</v>
      </c>
      <c r="O43" s="265">
        <f t="shared" si="6"/>
        <v>777.5090605856</v>
      </c>
      <c r="P43" s="265">
        <f t="shared" si="7"/>
        <v>777.5090605856</v>
      </c>
    </row>
    <row r="44" spans="1:16" ht="13.5">
      <c r="A44" s="383">
        <v>50</v>
      </c>
      <c r="B44" s="160">
        <v>1310</v>
      </c>
      <c r="C44" s="174">
        <v>750.2</v>
      </c>
      <c r="D44" s="166">
        <v>825.2200000000001</v>
      </c>
      <c r="E44" s="377">
        <v>0.10000000000000012</v>
      </c>
      <c r="F44" s="387">
        <v>954</v>
      </c>
      <c r="G44" s="81">
        <v>1011.24</v>
      </c>
      <c r="H44" s="273">
        <f t="shared" si="5"/>
        <v>1071.9144000000001</v>
      </c>
      <c r="I44" s="273">
        <v>1136.229264</v>
      </c>
      <c r="J44" s="273">
        <v>1204.40301984</v>
      </c>
      <c r="K44" s="265">
        <f t="shared" si="1"/>
        <v>1276.6672010304</v>
      </c>
      <c r="L44" s="379">
        <f t="shared" si="0"/>
        <v>0.06</v>
      </c>
      <c r="O44" s="265">
        <f t="shared" si="6"/>
        <v>1276.6672010304</v>
      </c>
      <c r="P44" s="265">
        <f t="shared" si="7"/>
        <v>1276.6672010304</v>
      </c>
    </row>
    <row r="45" spans="1:16" ht="13.5">
      <c r="A45" s="383">
        <v>60</v>
      </c>
      <c r="B45" s="160">
        <v>1310</v>
      </c>
      <c r="C45" s="174">
        <v>907.5</v>
      </c>
      <c r="D45" s="166">
        <v>998.2500000000001</v>
      </c>
      <c r="E45" s="377">
        <v>0.10000000000000013</v>
      </c>
      <c r="F45" s="387">
        <v>1154</v>
      </c>
      <c r="G45" s="81">
        <v>1223.24</v>
      </c>
      <c r="H45" s="273">
        <f t="shared" si="5"/>
        <v>1296.6344000000001</v>
      </c>
      <c r="I45" s="273">
        <v>1374.4324640000002</v>
      </c>
      <c r="J45" s="273">
        <v>1456.8984118400003</v>
      </c>
      <c r="K45" s="265">
        <f t="shared" si="1"/>
        <v>1544.3123165504003</v>
      </c>
      <c r="L45" s="379">
        <f t="shared" si="0"/>
        <v>0.06</v>
      </c>
      <c r="O45" s="265">
        <f t="shared" si="6"/>
        <v>1544.3123165504003</v>
      </c>
      <c r="P45" s="265">
        <f t="shared" si="7"/>
        <v>1544.3123165504003</v>
      </c>
    </row>
    <row r="46" spans="1:16" ht="13.5">
      <c r="A46" s="383">
        <v>70</v>
      </c>
      <c r="B46" s="163">
        <v>1310</v>
      </c>
      <c r="C46" s="163">
        <v>1114.41</v>
      </c>
      <c r="D46" s="166">
        <v>1225.851</v>
      </c>
      <c r="E46" s="377">
        <v>0.10000000000000002</v>
      </c>
      <c r="F46" s="387">
        <v>1417</v>
      </c>
      <c r="G46" s="81">
        <v>1502.02</v>
      </c>
      <c r="H46" s="273">
        <f t="shared" si="5"/>
        <v>1592.1412</v>
      </c>
      <c r="I46" s="273">
        <v>1687.669672</v>
      </c>
      <c r="J46" s="273">
        <v>1788.92985232</v>
      </c>
      <c r="K46" s="265">
        <f t="shared" si="1"/>
        <v>1896.2656434592</v>
      </c>
      <c r="L46" s="379">
        <f t="shared" si="0"/>
        <v>0.06</v>
      </c>
      <c r="O46" s="265">
        <f t="shared" si="6"/>
        <v>1896.2656434592</v>
      </c>
      <c r="P46" s="265">
        <f t="shared" si="7"/>
        <v>1896.2656434592</v>
      </c>
    </row>
    <row r="47" spans="1:16" ht="13.5">
      <c r="A47" s="383">
        <v>80</v>
      </c>
      <c r="B47" s="163">
        <v>1310</v>
      </c>
      <c r="C47" s="163">
        <v>1278.97</v>
      </c>
      <c r="D47" s="166">
        <v>1406.8670000000002</v>
      </c>
      <c r="E47" s="377">
        <v>0.10000000000000013</v>
      </c>
      <c r="F47" s="387">
        <v>1626</v>
      </c>
      <c r="G47" s="81">
        <v>1723.5600000000002</v>
      </c>
      <c r="H47" s="273">
        <f t="shared" si="5"/>
        <v>1826.9736000000003</v>
      </c>
      <c r="I47" s="273">
        <v>1936.5920160000003</v>
      </c>
      <c r="J47" s="273">
        <v>2052.78753696</v>
      </c>
      <c r="K47" s="265">
        <f t="shared" si="1"/>
        <v>2175.9547891776</v>
      </c>
      <c r="L47" s="379">
        <f t="shared" si="0"/>
        <v>0.06</v>
      </c>
      <c r="O47" s="265">
        <f t="shared" si="6"/>
        <v>2175.9547891776</v>
      </c>
      <c r="P47" s="265">
        <f t="shared" si="7"/>
        <v>2175.9547891776</v>
      </c>
    </row>
    <row r="48" spans="1:16" ht="13.5">
      <c r="A48" s="383">
        <v>90</v>
      </c>
      <c r="B48" s="163">
        <v>1310</v>
      </c>
      <c r="C48" s="380">
        <v>1488.3</v>
      </c>
      <c r="D48" s="166">
        <v>1637.13</v>
      </c>
      <c r="E48" s="377">
        <v>0.1000000000000001</v>
      </c>
      <c r="F48" s="387">
        <v>1892</v>
      </c>
      <c r="G48" s="81">
        <v>2005.5200000000002</v>
      </c>
      <c r="H48" s="273">
        <f t="shared" si="5"/>
        <v>2125.8512000000005</v>
      </c>
      <c r="I48" s="273">
        <v>2253.4022720000007</v>
      </c>
      <c r="J48" s="273">
        <v>2388.606408320001</v>
      </c>
      <c r="K48" s="265">
        <f t="shared" si="1"/>
        <v>2531.922792819201</v>
      </c>
      <c r="L48" s="379">
        <f t="shared" si="0"/>
        <v>0.06</v>
      </c>
      <c r="O48" s="265">
        <f t="shared" si="6"/>
        <v>2531.922792819201</v>
      </c>
      <c r="P48" s="265">
        <f t="shared" si="7"/>
        <v>2531.922792819201</v>
      </c>
    </row>
    <row r="49" spans="1:16" ht="13.5">
      <c r="A49" s="383">
        <v>100</v>
      </c>
      <c r="B49" s="163">
        <v>1310</v>
      </c>
      <c r="C49" s="380">
        <v>1595.99</v>
      </c>
      <c r="D49" s="166">
        <v>1755.5890000000002</v>
      </c>
      <c r="E49" s="377">
        <v>0.1000000000000001</v>
      </c>
      <c r="F49" s="387">
        <v>2029</v>
      </c>
      <c r="G49" s="81">
        <v>2150.7400000000002</v>
      </c>
      <c r="H49" s="273">
        <f t="shared" si="5"/>
        <v>2279.7844000000005</v>
      </c>
      <c r="I49" s="273">
        <v>2416.5714640000006</v>
      </c>
      <c r="J49" s="273">
        <v>2561.5657518400008</v>
      </c>
      <c r="K49" s="265">
        <f t="shared" si="1"/>
        <v>2715.2596969504007</v>
      </c>
      <c r="L49" s="379">
        <f t="shared" si="0"/>
        <v>0.06</v>
      </c>
      <c r="O49" s="265">
        <f t="shared" si="6"/>
        <v>2715.2596969504007</v>
      </c>
      <c r="P49" s="265">
        <f t="shared" si="7"/>
        <v>2715.2596969504007</v>
      </c>
    </row>
    <row r="50" spans="1:16" ht="13.5">
      <c r="A50" s="383">
        <v>110</v>
      </c>
      <c r="B50" s="163">
        <v>1310</v>
      </c>
      <c r="C50" s="381">
        <v>1753.29</v>
      </c>
      <c r="D50" s="166">
        <v>1928.6190000000001</v>
      </c>
      <c r="E50" s="377">
        <v>0.1000000000000001</v>
      </c>
      <c r="F50" s="387">
        <v>2229</v>
      </c>
      <c r="G50" s="81">
        <v>2362.7400000000002</v>
      </c>
      <c r="H50" s="273">
        <f t="shared" si="5"/>
        <v>2504.5044000000003</v>
      </c>
      <c r="I50" s="273">
        <v>2654.7746640000005</v>
      </c>
      <c r="J50" s="273">
        <v>2814.0611438400006</v>
      </c>
      <c r="K50" s="265">
        <f t="shared" si="1"/>
        <v>2982.9048124704004</v>
      </c>
      <c r="L50" s="379">
        <f t="shared" si="0"/>
        <v>0.06</v>
      </c>
      <c r="O50" s="265">
        <f t="shared" si="6"/>
        <v>2982.9048124704004</v>
      </c>
      <c r="P50" s="265">
        <f t="shared" si="7"/>
        <v>2982.9048124704004</v>
      </c>
    </row>
    <row r="51" spans="1:16" ht="13.5">
      <c r="A51" s="383">
        <v>120</v>
      </c>
      <c r="B51" s="163">
        <v>1310</v>
      </c>
      <c r="C51" s="381">
        <v>1911.8</v>
      </c>
      <c r="D51" s="166">
        <v>2102.98</v>
      </c>
      <c r="E51" s="377">
        <v>0.10000000000000003</v>
      </c>
      <c r="F51" s="387">
        <v>2430</v>
      </c>
      <c r="G51" s="81">
        <v>2575.8</v>
      </c>
      <c r="H51" s="273">
        <f t="shared" si="5"/>
        <v>2730.3480000000004</v>
      </c>
      <c r="I51" s="273">
        <v>2894.1688800000006</v>
      </c>
      <c r="J51" s="273">
        <v>3067.8190128000006</v>
      </c>
      <c r="K51" s="265">
        <f t="shared" si="1"/>
        <v>3251.8881535680007</v>
      </c>
      <c r="L51" s="379">
        <f t="shared" si="0"/>
        <v>0.06</v>
      </c>
      <c r="O51" s="265">
        <f t="shared" si="6"/>
        <v>3251.8881535680007</v>
      </c>
      <c r="P51" s="265">
        <f t="shared" si="7"/>
        <v>3251.8881535680007</v>
      </c>
    </row>
    <row r="52" spans="1:16" ht="13.5">
      <c r="A52" s="383">
        <v>130</v>
      </c>
      <c r="B52" s="163">
        <v>1310</v>
      </c>
      <c r="C52" s="381">
        <v>2070.31</v>
      </c>
      <c r="D52" s="166">
        <v>2277.3410000000003</v>
      </c>
      <c r="E52" s="377">
        <v>0.1000000000000002</v>
      </c>
      <c r="F52" s="387">
        <v>2632</v>
      </c>
      <c r="G52" s="81">
        <v>2789.92</v>
      </c>
      <c r="H52" s="273">
        <f t="shared" si="5"/>
        <v>2957.3152</v>
      </c>
      <c r="I52" s="273">
        <v>3134.754112</v>
      </c>
      <c r="J52" s="273">
        <v>3322.83935872</v>
      </c>
      <c r="K52" s="265">
        <f t="shared" si="1"/>
        <v>3522.2097202431996</v>
      </c>
      <c r="L52" s="379">
        <f t="shared" si="0"/>
        <v>0.06</v>
      </c>
      <c r="O52" s="265">
        <f t="shared" si="6"/>
        <v>3522.2097202431996</v>
      </c>
      <c r="P52" s="265">
        <f t="shared" si="7"/>
        <v>3522.2097202431996</v>
      </c>
    </row>
    <row r="53" spans="1:16" ht="13.5">
      <c r="A53" s="383">
        <v>140</v>
      </c>
      <c r="B53" s="163">
        <v>1310</v>
      </c>
      <c r="C53" s="381">
        <v>2234.87</v>
      </c>
      <c r="D53" s="166">
        <v>2458.357</v>
      </c>
      <c r="E53" s="377">
        <v>0.10000000000000005</v>
      </c>
      <c r="F53" s="387">
        <v>2841</v>
      </c>
      <c r="G53" s="81">
        <v>3011.46</v>
      </c>
      <c r="H53" s="273">
        <f t="shared" si="5"/>
        <v>3192.1476000000002</v>
      </c>
      <c r="I53" s="273">
        <v>3383.676456</v>
      </c>
      <c r="J53" s="273">
        <v>3586.69704336</v>
      </c>
      <c r="K53" s="265">
        <f t="shared" si="1"/>
        <v>3801.8988659615998</v>
      </c>
      <c r="L53" s="379">
        <f t="shared" si="0"/>
        <v>0.06</v>
      </c>
      <c r="O53" s="265">
        <f t="shared" si="6"/>
        <v>3801.8988659615998</v>
      </c>
      <c r="P53" s="265">
        <f t="shared" si="7"/>
        <v>3801.8988659615998</v>
      </c>
    </row>
    <row r="54" spans="1:16" ht="13.5">
      <c r="A54" s="383">
        <v>150</v>
      </c>
      <c r="B54" s="163">
        <v>1310</v>
      </c>
      <c r="C54" s="381">
        <v>2393.38</v>
      </c>
      <c r="D54" s="166">
        <v>2632.7180000000003</v>
      </c>
      <c r="E54" s="377">
        <v>0.10000000000000007</v>
      </c>
      <c r="F54" s="387">
        <v>3042</v>
      </c>
      <c r="G54" s="81">
        <v>3224.52</v>
      </c>
      <c r="H54" s="273">
        <f t="shared" si="5"/>
        <v>3417.9912</v>
      </c>
      <c r="I54" s="273">
        <v>3623.070672</v>
      </c>
      <c r="J54" s="273">
        <v>3840.45491232</v>
      </c>
      <c r="K54" s="265">
        <f t="shared" si="1"/>
        <v>4070.8822070592</v>
      </c>
      <c r="L54" s="379">
        <f t="shared" si="0"/>
        <v>0.06</v>
      </c>
      <c r="O54" s="265">
        <f t="shared" si="6"/>
        <v>4070.8822070592</v>
      </c>
      <c r="P54" s="265">
        <f t="shared" si="7"/>
        <v>4070.8822070592</v>
      </c>
    </row>
    <row r="55" spans="1:16" ht="13.5">
      <c r="A55" s="383">
        <v>160</v>
      </c>
      <c r="B55" s="163">
        <v>1310</v>
      </c>
      <c r="C55" s="381">
        <v>2551.89</v>
      </c>
      <c r="D55" s="166">
        <v>2807.079</v>
      </c>
      <c r="E55" s="377">
        <v>0.10000000000000013</v>
      </c>
      <c r="F55" s="387">
        <v>3244</v>
      </c>
      <c r="G55" s="81">
        <v>3438.6400000000003</v>
      </c>
      <c r="H55" s="273">
        <f t="shared" si="5"/>
        <v>3644.9584000000004</v>
      </c>
      <c r="I55" s="273">
        <v>3863.6559040000006</v>
      </c>
      <c r="J55" s="273">
        <v>4095.4752582400006</v>
      </c>
      <c r="K55" s="265">
        <f t="shared" si="1"/>
        <v>4341.203773734401</v>
      </c>
      <c r="L55" s="379">
        <f t="shared" si="0"/>
        <v>0.06</v>
      </c>
      <c r="O55" s="265">
        <f t="shared" si="6"/>
        <v>4341.203773734401</v>
      </c>
      <c r="P55" s="265">
        <f t="shared" si="7"/>
        <v>4341.203773734401</v>
      </c>
    </row>
    <row r="56" spans="1:16" ht="13.5">
      <c r="A56" s="383">
        <v>170</v>
      </c>
      <c r="B56" s="163">
        <v>1310</v>
      </c>
      <c r="C56" s="381">
        <v>2709.19</v>
      </c>
      <c r="D56" s="166">
        <v>2980.1090000000004</v>
      </c>
      <c r="E56" s="377">
        <v>0.10000000000000012</v>
      </c>
      <c r="F56" s="387">
        <v>3444</v>
      </c>
      <c r="G56" s="81">
        <v>3650.6400000000003</v>
      </c>
      <c r="H56" s="273">
        <f t="shared" si="5"/>
        <v>3869.6784000000007</v>
      </c>
      <c r="I56" s="273">
        <v>4101.859104000001</v>
      </c>
      <c r="J56" s="273">
        <v>4347.970650240001</v>
      </c>
      <c r="K56" s="265">
        <f t="shared" si="1"/>
        <v>4608.848889254401</v>
      </c>
      <c r="L56" s="379">
        <f t="shared" si="0"/>
        <v>0.06</v>
      </c>
      <c r="O56" s="265">
        <f t="shared" si="6"/>
        <v>4608.848889254401</v>
      </c>
      <c r="P56" s="265">
        <f t="shared" si="7"/>
        <v>4608.848889254401</v>
      </c>
    </row>
    <row r="57" spans="1:16" ht="13.5">
      <c r="A57" s="383">
        <v>180</v>
      </c>
      <c r="B57" s="163">
        <v>1310</v>
      </c>
      <c r="C57" s="381">
        <v>2889.48</v>
      </c>
      <c r="D57" s="166">
        <v>3178.4280000000003</v>
      </c>
      <c r="E57" s="377">
        <v>0.10000000000000012</v>
      </c>
      <c r="F57" s="387">
        <v>3673</v>
      </c>
      <c r="G57" s="81">
        <v>3893.38</v>
      </c>
      <c r="H57" s="273">
        <f t="shared" si="5"/>
        <v>4126.982800000001</v>
      </c>
      <c r="I57" s="273">
        <v>4374.601768</v>
      </c>
      <c r="J57" s="273">
        <v>4637.077874080001</v>
      </c>
      <c r="K57" s="265">
        <f t="shared" si="1"/>
        <v>4915.302546524801</v>
      </c>
      <c r="L57" s="379">
        <f t="shared" si="0"/>
        <v>0.06</v>
      </c>
      <c r="O57" s="265">
        <f t="shared" si="6"/>
        <v>4915.302546524801</v>
      </c>
      <c r="P57" s="265">
        <f t="shared" si="7"/>
        <v>4915.302546524801</v>
      </c>
    </row>
    <row r="58" spans="1:16" ht="13.5">
      <c r="A58" s="383">
        <v>190</v>
      </c>
      <c r="B58" s="163">
        <v>1310</v>
      </c>
      <c r="C58" s="381">
        <v>3026.21</v>
      </c>
      <c r="D58" s="166">
        <v>3328.831</v>
      </c>
      <c r="E58" s="377">
        <v>0.10000000000000003</v>
      </c>
      <c r="F58" s="387">
        <v>3847</v>
      </c>
      <c r="G58" s="81">
        <v>4077.82</v>
      </c>
      <c r="H58" s="273">
        <f t="shared" si="5"/>
        <v>4322.4892</v>
      </c>
      <c r="I58" s="273">
        <v>4581.838552</v>
      </c>
      <c r="J58" s="273">
        <v>4856.74886512</v>
      </c>
      <c r="K58" s="265">
        <f t="shared" si="1"/>
        <v>5148.1537970272</v>
      </c>
      <c r="L58" s="379">
        <f t="shared" si="0"/>
        <v>0.06</v>
      </c>
      <c r="O58" s="265">
        <f t="shared" si="6"/>
        <v>5148.1537970272</v>
      </c>
      <c r="P58" s="265">
        <f t="shared" si="7"/>
        <v>5148.1537970272</v>
      </c>
    </row>
    <row r="59" spans="1:16" ht="13.5">
      <c r="A59" s="383">
        <v>200</v>
      </c>
      <c r="B59" s="163">
        <v>1310</v>
      </c>
      <c r="C59" s="381">
        <v>3190.77</v>
      </c>
      <c r="D59" s="166">
        <v>3509.847</v>
      </c>
      <c r="E59" s="377">
        <v>0.10000000000000007</v>
      </c>
      <c r="F59" s="387">
        <v>4057</v>
      </c>
      <c r="G59" s="81">
        <v>4300.42</v>
      </c>
      <c r="H59" s="273">
        <f t="shared" si="5"/>
        <v>4558.4452</v>
      </c>
      <c r="I59" s="273">
        <v>4831.951912</v>
      </c>
      <c r="J59" s="273">
        <v>5121.869026720001</v>
      </c>
      <c r="K59" s="265">
        <f t="shared" si="1"/>
        <v>5429.181168323201</v>
      </c>
      <c r="L59" s="379">
        <f t="shared" si="0"/>
        <v>0.06</v>
      </c>
      <c r="O59" s="265">
        <f t="shared" si="6"/>
        <v>5429.181168323201</v>
      </c>
      <c r="P59" s="265">
        <f t="shared" si="7"/>
        <v>5429.181168323201</v>
      </c>
    </row>
    <row r="60" spans="1:16" ht="13.5">
      <c r="A60" s="383">
        <v>210</v>
      </c>
      <c r="B60" s="163">
        <v>1310</v>
      </c>
      <c r="C60" s="381">
        <v>3349.28</v>
      </c>
      <c r="D60" s="166">
        <v>3684.2080000000005</v>
      </c>
      <c r="E60" s="377">
        <v>0.10000000000000009</v>
      </c>
      <c r="F60" s="387">
        <v>4257</v>
      </c>
      <c r="G60" s="81">
        <v>4512.42</v>
      </c>
      <c r="H60" s="273">
        <f t="shared" si="5"/>
        <v>4783.1652</v>
      </c>
      <c r="I60" s="273">
        <v>5070.155112</v>
      </c>
      <c r="J60" s="273">
        <v>5374.364418720001</v>
      </c>
      <c r="K60" s="265">
        <f t="shared" si="1"/>
        <v>5696.826283843201</v>
      </c>
      <c r="L60" s="379">
        <f t="shared" si="0"/>
        <v>0.06</v>
      </c>
      <c r="O60" s="265">
        <f t="shared" si="6"/>
        <v>5696.826283843201</v>
      </c>
      <c r="P60" s="265">
        <f t="shared" si="7"/>
        <v>5696.826283843201</v>
      </c>
    </row>
    <row r="61" spans="1:16" ht="13.5">
      <c r="A61" s="383">
        <v>220</v>
      </c>
      <c r="B61" s="163">
        <v>1310</v>
      </c>
      <c r="C61" s="381">
        <v>3507.79</v>
      </c>
      <c r="D61" s="166">
        <v>3858.5690000000004</v>
      </c>
      <c r="E61" s="377">
        <v>0.10000000000000013</v>
      </c>
      <c r="F61" s="387">
        <v>4459</v>
      </c>
      <c r="G61" s="81">
        <v>4726.54</v>
      </c>
      <c r="H61" s="273">
        <f t="shared" si="5"/>
        <v>5010.1324</v>
      </c>
      <c r="I61" s="273">
        <v>5310.740344000001</v>
      </c>
      <c r="J61" s="273">
        <v>5629.384764640001</v>
      </c>
      <c r="K61" s="265">
        <f t="shared" si="1"/>
        <v>5967.1478505184</v>
      </c>
      <c r="L61" s="379">
        <f t="shared" si="0"/>
        <v>0.06</v>
      </c>
      <c r="O61" s="265">
        <f t="shared" si="6"/>
        <v>5967.1478505184</v>
      </c>
      <c r="P61" s="265">
        <f t="shared" si="7"/>
        <v>5967.1478505184</v>
      </c>
    </row>
    <row r="62" spans="1:16" ht="13.5">
      <c r="A62" s="383">
        <v>230</v>
      </c>
      <c r="B62" s="163">
        <v>1310</v>
      </c>
      <c r="C62" s="381">
        <v>3665.09</v>
      </c>
      <c r="D62" s="166">
        <v>4031.5990000000006</v>
      </c>
      <c r="E62" s="377">
        <v>0.10000000000000013</v>
      </c>
      <c r="F62" s="387">
        <v>4659</v>
      </c>
      <c r="G62" s="81">
        <v>4938.54</v>
      </c>
      <c r="H62" s="273">
        <f t="shared" si="5"/>
        <v>5234.852400000001</v>
      </c>
      <c r="I62" s="273">
        <v>5548.943544000001</v>
      </c>
      <c r="J62" s="273">
        <v>5881.880156640001</v>
      </c>
      <c r="K62" s="265">
        <f t="shared" si="1"/>
        <v>6234.792966038401</v>
      </c>
      <c r="L62" s="379">
        <f t="shared" si="0"/>
        <v>0.06</v>
      </c>
      <c r="O62" s="265">
        <f t="shared" si="6"/>
        <v>6234.792966038401</v>
      </c>
      <c r="P62" s="265">
        <f t="shared" si="7"/>
        <v>6234.792966038401</v>
      </c>
    </row>
    <row r="63" spans="1:16" ht="13.5">
      <c r="A63" s="383">
        <v>240</v>
      </c>
      <c r="B63" s="163">
        <v>1310</v>
      </c>
      <c r="C63" s="381">
        <v>3823.6</v>
      </c>
      <c r="D63" s="166">
        <v>4205.96</v>
      </c>
      <c r="E63" s="377">
        <v>0.10000000000000003</v>
      </c>
      <c r="F63" s="387">
        <v>4860</v>
      </c>
      <c r="G63" s="81">
        <v>5151.6</v>
      </c>
      <c r="H63" s="273">
        <f t="shared" si="5"/>
        <v>5460.696000000001</v>
      </c>
      <c r="I63" s="273">
        <v>5788.337760000001</v>
      </c>
      <c r="J63" s="273">
        <v>6135.638025600001</v>
      </c>
      <c r="K63" s="265">
        <f t="shared" si="1"/>
        <v>6503.776307136001</v>
      </c>
      <c r="L63" s="379">
        <f t="shared" si="0"/>
        <v>0.06</v>
      </c>
      <c r="O63" s="265">
        <f t="shared" si="6"/>
        <v>6503.776307136001</v>
      </c>
      <c r="P63" s="265">
        <f t="shared" si="7"/>
        <v>6503.776307136001</v>
      </c>
    </row>
    <row r="64" spans="1:16" ht="13.5">
      <c r="A64" s="383">
        <v>250</v>
      </c>
      <c r="B64" s="163">
        <v>1310</v>
      </c>
      <c r="C64" s="381">
        <v>3982.11</v>
      </c>
      <c r="D64" s="166">
        <v>4380.321000000001</v>
      </c>
      <c r="E64" s="377">
        <v>0.10000000000000017</v>
      </c>
      <c r="F64" s="387">
        <v>5062</v>
      </c>
      <c r="G64" s="81">
        <v>5365.72</v>
      </c>
      <c r="H64" s="273">
        <f t="shared" si="5"/>
        <v>5687.663200000001</v>
      </c>
      <c r="I64" s="273">
        <v>6028.922992000001</v>
      </c>
      <c r="J64" s="273">
        <v>6390.65837152</v>
      </c>
      <c r="K64" s="265">
        <f t="shared" si="1"/>
        <v>6774.097873811201</v>
      </c>
      <c r="L64" s="379">
        <f t="shared" si="0"/>
        <v>0.06</v>
      </c>
      <c r="O64" s="265">
        <f t="shared" si="6"/>
        <v>6774.097873811201</v>
      </c>
      <c r="P64" s="265">
        <f t="shared" si="7"/>
        <v>6774.097873811201</v>
      </c>
    </row>
    <row r="65" spans="1:16" ht="13.5">
      <c r="A65" s="383">
        <v>260</v>
      </c>
      <c r="B65" s="163">
        <v>1310</v>
      </c>
      <c r="C65" s="381">
        <v>4139.41</v>
      </c>
      <c r="D65" s="166">
        <v>4553.351000000001</v>
      </c>
      <c r="E65" s="377">
        <v>0.10000000000000017</v>
      </c>
      <c r="F65" s="387">
        <v>5262</v>
      </c>
      <c r="G65" s="81">
        <v>5577.72</v>
      </c>
      <c r="H65" s="273">
        <f t="shared" si="5"/>
        <v>5912.3832</v>
      </c>
      <c r="I65" s="273">
        <v>6267.126192000001</v>
      </c>
      <c r="J65" s="273">
        <v>6643.15376352</v>
      </c>
      <c r="K65" s="265">
        <f t="shared" si="1"/>
        <v>7041.7429893312</v>
      </c>
      <c r="L65" s="379">
        <f t="shared" si="0"/>
        <v>0.06</v>
      </c>
      <c r="O65" s="265">
        <f t="shared" si="6"/>
        <v>7041.7429893312</v>
      </c>
      <c r="P65" s="265">
        <f t="shared" si="7"/>
        <v>7041.7429893312</v>
      </c>
    </row>
    <row r="66" spans="1:16" ht="13.5">
      <c r="A66" s="383">
        <v>270</v>
      </c>
      <c r="B66" s="163">
        <v>1310</v>
      </c>
      <c r="C66" s="381">
        <v>4305.18</v>
      </c>
      <c r="D66" s="166">
        <v>4735.698</v>
      </c>
      <c r="E66" s="377">
        <v>0.1</v>
      </c>
      <c r="F66" s="387">
        <v>5473</v>
      </c>
      <c r="G66" s="81">
        <v>5801.38</v>
      </c>
      <c r="H66" s="273">
        <f t="shared" si="5"/>
        <v>6149.4628</v>
      </c>
      <c r="I66" s="273">
        <v>6518.430568</v>
      </c>
      <c r="J66" s="273">
        <v>6909.53640208</v>
      </c>
      <c r="K66" s="265">
        <f t="shared" si="1"/>
        <v>7324.108586204799</v>
      </c>
      <c r="L66" s="379">
        <f t="shared" si="0"/>
        <v>0.06</v>
      </c>
      <c r="O66" s="265">
        <f t="shared" si="6"/>
        <v>7324.108586204799</v>
      </c>
      <c r="P66" s="265">
        <f t="shared" si="7"/>
        <v>7324.108586204799</v>
      </c>
    </row>
    <row r="67" spans="1:16" ht="13.5">
      <c r="A67" s="383">
        <v>280</v>
      </c>
      <c r="B67" s="163">
        <v>1310</v>
      </c>
      <c r="C67" s="381">
        <v>4463.69</v>
      </c>
      <c r="D67" s="166">
        <v>4910.059</v>
      </c>
      <c r="E67" s="377">
        <v>0.10000000000000014</v>
      </c>
      <c r="F67" s="387">
        <v>5674</v>
      </c>
      <c r="G67" s="81">
        <v>6014.4400000000005</v>
      </c>
      <c r="H67" s="273">
        <f t="shared" si="5"/>
        <v>6375.306400000001</v>
      </c>
      <c r="I67" s="273">
        <v>6757.824784000001</v>
      </c>
      <c r="J67" s="273">
        <v>7163.294271040001</v>
      </c>
      <c r="K67" s="265">
        <f t="shared" si="1"/>
        <v>7593.091927302401</v>
      </c>
      <c r="L67" s="379">
        <f t="shared" si="0"/>
        <v>0.06</v>
      </c>
      <c r="O67" s="265">
        <f t="shared" si="6"/>
        <v>7593.091927302401</v>
      </c>
      <c r="P67" s="265">
        <f t="shared" si="7"/>
        <v>7593.091927302401</v>
      </c>
    </row>
    <row r="68" spans="1:16" ht="13.5">
      <c r="A68" s="383">
        <v>290</v>
      </c>
      <c r="B68" s="163">
        <v>1310</v>
      </c>
      <c r="C68" s="381">
        <v>4620.99</v>
      </c>
      <c r="D68" s="166">
        <v>5083.089</v>
      </c>
      <c r="E68" s="377">
        <v>0.10000000000000003</v>
      </c>
      <c r="F68" s="387">
        <v>5874</v>
      </c>
      <c r="G68" s="81">
        <v>6226.4400000000005</v>
      </c>
      <c r="H68" s="273">
        <f t="shared" si="5"/>
        <v>6600.026400000001</v>
      </c>
      <c r="I68" s="273">
        <v>6996.027984</v>
      </c>
      <c r="J68" s="273">
        <v>7415.78966304</v>
      </c>
      <c r="K68" s="265">
        <f t="shared" si="1"/>
        <v>7860.7370428224</v>
      </c>
      <c r="L68" s="379">
        <f t="shared" si="0"/>
        <v>0.06</v>
      </c>
      <c r="O68" s="265">
        <f t="shared" si="6"/>
        <v>7860.7370428224</v>
      </c>
      <c r="P68" s="265">
        <f t="shared" si="7"/>
        <v>7860.7370428224</v>
      </c>
    </row>
    <row r="69" spans="1:16" ht="13.5">
      <c r="A69" s="383">
        <v>300</v>
      </c>
      <c r="B69" s="163">
        <v>1310</v>
      </c>
      <c r="C69" s="381">
        <v>4779.5</v>
      </c>
      <c r="D69" s="166">
        <v>5257.450000000001</v>
      </c>
      <c r="E69" s="377">
        <v>0.10000000000000016</v>
      </c>
      <c r="F69" s="387">
        <v>6076</v>
      </c>
      <c r="G69" s="81">
        <v>6440.56</v>
      </c>
      <c r="H69" s="273">
        <f t="shared" si="5"/>
        <v>6826.993600000001</v>
      </c>
      <c r="I69" s="273">
        <v>7236.613216000001</v>
      </c>
      <c r="J69" s="273">
        <v>7670.810008960001</v>
      </c>
      <c r="K69" s="265">
        <f t="shared" si="1"/>
        <v>8131.0586094976015</v>
      </c>
      <c r="L69" s="379">
        <f t="shared" si="0"/>
        <v>0.06</v>
      </c>
      <c r="O69" s="265">
        <f t="shared" si="6"/>
        <v>8131.0586094976015</v>
      </c>
      <c r="P69" s="265">
        <f t="shared" si="7"/>
        <v>8131.0586094976015</v>
      </c>
    </row>
    <row r="70" spans="1:16" ht="13.5">
      <c r="A70" s="383">
        <v>310</v>
      </c>
      <c r="B70" s="163">
        <v>1310</v>
      </c>
      <c r="C70" s="381">
        <v>4938.01</v>
      </c>
      <c r="D70" s="166">
        <v>5431.811000000001</v>
      </c>
      <c r="E70" s="377">
        <v>0.10000000000000007</v>
      </c>
      <c r="F70" s="387">
        <v>6277</v>
      </c>
      <c r="G70" s="81">
        <v>6653.62</v>
      </c>
      <c r="H70" s="273">
        <f t="shared" si="5"/>
        <v>7052.8372</v>
      </c>
      <c r="I70" s="273">
        <v>7476.007432</v>
      </c>
      <c r="J70" s="273">
        <v>7924.567877920001</v>
      </c>
      <c r="K70" s="265">
        <f t="shared" si="1"/>
        <v>8400.041950595201</v>
      </c>
      <c r="L70" s="379">
        <f t="shared" si="0"/>
        <v>0.06</v>
      </c>
      <c r="O70" s="265">
        <f t="shared" si="6"/>
        <v>8400.041950595201</v>
      </c>
      <c r="P70" s="265">
        <f t="shared" si="7"/>
        <v>8400.041950595201</v>
      </c>
    </row>
    <row r="71" spans="1:16" ht="13.5">
      <c r="A71" s="383">
        <v>320</v>
      </c>
      <c r="B71" s="163">
        <v>1310</v>
      </c>
      <c r="C71" s="381">
        <v>5095.31</v>
      </c>
      <c r="D71" s="166">
        <v>5604.841000000001</v>
      </c>
      <c r="E71" s="377">
        <v>0.10000000000000016</v>
      </c>
      <c r="F71" s="387">
        <v>6477</v>
      </c>
      <c r="G71" s="81">
        <v>6865.62</v>
      </c>
      <c r="H71" s="273">
        <f t="shared" si="5"/>
        <v>7277.5572</v>
      </c>
      <c r="I71" s="273">
        <v>7714.210632</v>
      </c>
      <c r="J71" s="273">
        <v>8177.0632699200005</v>
      </c>
      <c r="K71" s="265">
        <f t="shared" si="1"/>
        <v>8667.6870661152</v>
      </c>
      <c r="L71" s="379">
        <f t="shared" si="0"/>
        <v>0.06</v>
      </c>
      <c r="O71" s="265">
        <f t="shared" si="6"/>
        <v>8667.6870661152</v>
      </c>
      <c r="P71" s="265">
        <f t="shared" si="7"/>
        <v>8667.6870661152</v>
      </c>
    </row>
    <row r="72" spans="1:16" ht="13.5">
      <c r="A72" s="383">
        <v>330</v>
      </c>
      <c r="B72" s="163">
        <v>1310</v>
      </c>
      <c r="C72" s="381">
        <v>5253.82</v>
      </c>
      <c r="D72" s="166">
        <v>5779.202</v>
      </c>
      <c r="E72" s="377">
        <v>0.1000000000000001</v>
      </c>
      <c r="F72" s="387">
        <v>6678</v>
      </c>
      <c r="G72" s="81">
        <v>7078.68</v>
      </c>
      <c r="H72" s="273">
        <f t="shared" si="5"/>
        <v>7503.4008</v>
      </c>
      <c r="I72" s="273">
        <v>7953.604848</v>
      </c>
      <c r="J72" s="273">
        <v>8430.82113888</v>
      </c>
      <c r="K72" s="265">
        <f t="shared" si="1"/>
        <v>8936.6704072128</v>
      </c>
      <c r="L72" s="379">
        <f t="shared" si="0"/>
        <v>0.06</v>
      </c>
      <c r="O72" s="265">
        <f t="shared" si="6"/>
        <v>8936.6704072128</v>
      </c>
      <c r="P72" s="265">
        <f t="shared" si="7"/>
        <v>8936.6704072128</v>
      </c>
    </row>
    <row r="73" spans="1:16" ht="13.5">
      <c r="A73" s="383">
        <v>340</v>
      </c>
      <c r="B73" s="163">
        <v>1310</v>
      </c>
      <c r="C73" s="381">
        <v>5419.59</v>
      </c>
      <c r="D73" s="166">
        <v>5961.549000000001</v>
      </c>
      <c r="E73" s="377">
        <v>0.10000000000000013</v>
      </c>
      <c r="F73" s="387">
        <v>6889</v>
      </c>
      <c r="G73" s="81">
        <v>7302.34</v>
      </c>
      <c r="H73" s="273">
        <f t="shared" si="5"/>
        <v>7740.4804</v>
      </c>
      <c r="I73" s="273">
        <v>8204.909224</v>
      </c>
      <c r="J73" s="273">
        <v>8697.203777440001</v>
      </c>
      <c r="K73" s="265">
        <f t="shared" si="1"/>
        <v>9219.036004086402</v>
      </c>
      <c r="L73" s="379">
        <f t="shared" si="0"/>
        <v>0.06</v>
      </c>
      <c r="O73" s="265">
        <f t="shared" si="6"/>
        <v>9219.036004086402</v>
      </c>
      <c r="P73" s="265">
        <f t="shared" si="7"/>
        <v>9219.036004086402</v>
      </c>
    </row>
    <row r="74" spans="1:16" ht="13.5">
      <c r="A74" s="383">
        <v>350</v>
      </c>
      <c r="B74" s="163">
        <v>1310</v>
      </c>
      <c r="C74" s="381">
        <v>5576.89</v>
      </c>
      <c r="D74" s="166">
        <v>6134.579000000001</v>
      </c>
      <c r="E74" s="377">
        <v>0.10000000000000005</v>
      </c>
      <c r="F74" s="387">
        <v>7089</v>
      </c>
      <c r="G74" s="81">
        <v>7514.34</v>
      </c>
      <c r="H74" s="273">
        <f t="shared" si="5"/>
        <v>7965.200400000001</v>
      </c>
      <c r="I74" s="273">
        <v>8443.112424</v>
      </c>
      <c r="J74" s="273">
        <v>8949.69916944</v>
      </c>
      <c r="K74" s="265">
        <f t="shared" si="1"/>
        <v>9486.6811196064</v>
      </c>
      <c r="L74" s="379">
        <f t="shared" si="0"/>
        <v>0.06</v>
      </c>
      <c r="O74" s="265">
        <f t="shared" si="6"/>
        <v>9486.6811196064</v>
      </c>
      <c r="P74" s="265">
        <f t="shared" si="7"/>
        <v>9486.6811196064</v>
      </c>
    </row>
    <row r="75" spans="1:16" ht="13.5">
      <c r="A75" s="383">
        <v>360</v>
      </c>
      <c r="B75" s="163">
        <v>1310</v>
      </c>
      <c r="C75" s="381">
        <v>5735.4</v>
      </c>
      <c r="D75" s="166">
        <v>6308.9400000000005</v>
      </c>
      <c r="E75" s="377">
        <v>0.10000000000000016</v>
      </c>
      <c r="F75" s="387">
        <v>7291</v>
      </c>
      <c r="G75" s="81">
        <v>7728.46</v>
      </c>
      <c r="H75" s="273">
        <f t="shared" si="5"/>
        <v>8192.1676</v>
      </c>
      <c r="I75" s="273">
        <v>8683.697656</v>
      </c>
      <c r="J75" s="273">
        <v>9204.71951536</v>
      </c>
      <c r="K75" s="265">
        <f t="shared" si="1"/>
        <v>9757.002686281601</v>
      </c>
      <c r="L75" s="379">
        <f t="shared" si="0"/>
        <v>0.06</v>
      </c>
      <c r="O75" s="265">
        <f t="shared" si="6"/>
        <v>9757.002686281601</v>
      </c>
      <c r="P75" s="265">
        <f t="shared" si="7"/>
        <v>9757.002686281601</v>
      </c>
    </row>
    <row r="76" spans="1:16" ht="13.5">
      <c r="A76" s="383">
        <v>370</v>
      </c>
      <c r="B76" s="163">
        <v>1310</v>
      </c>
      <c r="C76" s="381">
        <v>5893.91</v>
      </c>
      <c r="D76" s="166">
        <v>6483.301</v>
      </c>
      <c r="E76" s="377">
        <v>0.10000000000000009</v>
      </c>
      <c r="F76" s="387">
        <v>7492</v>
      </c>
      <c r="G76" s="81">
        <v>7941.52</v>
      </c>
      <c r="H76" s="273">
        <f t="shared" si="5"/>
        <v>8418.0112</v>
      </c>
      <c r="I76" s="273">
        <v>8923.091872</v>
      </c>
      <c r="J76" s="273">
        <v>9458.477384320002</v>
      </c>
      <c r="K76" s="265">
        <f t="shared" si="1"/>
        <v>10025.986027379202</v>
      </c>
      <c r="L76" s="379">
        <f t="shared" si="0"/>
        <v>0.06</v>
      </c>
      <c r="O76" s="265">
        <f t="shared" si="6"/>
        <v>10025.986027379202</v>
      </c>
      <c r="P76" s="265">
        <f t="shared" si="7"/>
        <v>10025.986027379202</v>
      </c>
    </row>
    <row r="77" spans="1:16" ht="13.5">
      <c r="A77" s="383">
        <v>380</v>
      </c>
      <c r="B77" s="163">
        <v>1310</v>
      </c>
      <c r="C77" s="381">
        <v>6051.21</v>
      </c>
      <c r="D77" s="166">
        <v>6656.331</v>
      </c>
      <c r="E77" s="377">
        <v>0.10000000000000002</v>
      </c>
      <c r="F77" s="387">
        <v>7692</v>
      </c>
      <c r="G77" s="81">
        <v>8153.52</v>
      </c>
      <c r="H77" s="273">
        <f t="shared" si="5"/>
        <v>8642.7312</v>
      </c>
      <c r="I77" s="273">
        <v>9161.295072</v>
      </c>
      <c r="J77" s="273">
        <v>9710.97277632</v>
      </c>
      <c r="K77" s="265">
        <f t="shared" si="1"/>
        <v>10293.631142899201</v>
      </c>
      <c r="L77" s="379">
        <f aca="true" t="shared" si="8" ref="L77:L140">$L$9</f>
        <v>0.06</v>
      </c>
      <c r="O77" s="265">
        <f t="shared" si="6"/>
        <v>10293.631142899201</v>
      </c>
      <c r="P77" s="265">
        <f t="shared" si="7"/>
        <v>10293.631142899201</v>
      </c>
    </row>
    <row r="78" spans="1:16" ht="13.5">
      <c r="A78" s="383">
        <v>390</v>
      </c>
      <c r="B78" s="163">
        <v>1310</v>
      </c>
      <c r="C78" s="381">
        <v>6209.72</v>
      </c>
      <c r="D78" s="166">
        <v>6830.692000000001</v>
      </c>
      <c r="E78" s="377">
        <v>0.1000000000000001</v>
      </c>
      <c r="F78" s="387">
        <v>7894</v>
      </c>
      <c r="G78" s="81">
        <v>8367.640000000001</v>
      </c>
      <c r="H78" s="273">
        <f t="shared" si="5"/>
        <v>8869.698400000001</v>
      </c>
      <c r="I78" s="273">
        <v>9401.880304000002</v>
      </c>
      <c r="J78" s="273">
        <v>9965.993122240003</v>
      </c>
      <c r="K78" s="265">
        <f aca="true" t="shared" si="9" ref="K78:K139">(J78*L78)+J78</f>
        <v>10563.952709574403</v>
      </c>
      <c r="L78" s="379">
        <f t="shared" si="8"/>
        <v>0.06</v>
      </c>
      <c r="O78" s="265">
        <f t="shared" si="6"/>
        <v>10563.952709574403</v>
      </c>
      <c r="P78" s="265">
        <f t="shared" si="7"/>
        <v>10563.952709574403</v>
      </c>
    </row>
    <row r="79" spans="1:16" ht="13.5">
      <c r="A79" s="383">
        <v>400</v>
      </c>
      <c r="B79" s="163">
        <v>1310</v>
      </c>
      <c r="C79" s="381">
        <v>6375.49</v>
      </c>
      <c r="D79" s="166">
        <v>7013.039000000001</v>
      </c>
      <c r="E79" s="377">
        <v>0.10000000000000014</v>
      </c>
      <c r="F79" s="387">
        <v>8104</v>
      </c>
      <c r="G79" s="81">
        <v>8590.24</v>
      </c>
      <c r="H79" s="273">
        <f t="shared" si="5"/>
        <v>9105.6544</v>
      </c>
      <c r="I79" s="273">
        <v>9651.993664</v>
      </c>
      <c r="J79" s="273">
        <v>10231.113283839999</v>
      </c>
      <c r="K79" s="265">
        <f t="shared" si="9"/>
        <v>10844.980080870399</v>
      </c>
      <c r="L79" s="379">
        <f t="shared" si="8"/>
        <v>0.06</v>
      </c>
      <c r="O79" s="265">
        <f t="shared" si="6"/>
        <v>10844.980080870399</v>
      </c>
      <c r="P79" s="265">
        <f t="shared" si="7"/>
        <v>10844.980080870399</v>
      </c>
    </row>
    <row r="80" spans="1:16" s="558" customFormat="1" ht="13.5">
      <c r="A80" s="383">
        <v>410</v>
      </c>
      <c r="B80" s="163">
        <v>1310</v>
      </c>
      <c r="C80" s="381">
        <v>6532.79</v>
      </c>
      <c r="D80" s="166">
        <v>7186.069</v>
      </c>
      <c r="E80" s="377">
        <v>0.10000000000000007</v>
      </c>
      <c r="F80" s="387">
        <v>8304</v>
      </c>
      <c r="G80" s="81">
        <v>8802.24</v>
      </c>
      <c r="H80" s="273">
        <f t="shared" si="5"/>
        <v>9330.3744</v>
      </c>
      <c r="I80" s="273">
        <v>9890.196864000001</v>
      </c>
      <c r="J80" s="273">
        <v>10483.608675840002</v>
      </c>
      <c r="K80" s="265">
        <f t="shared" si="9"/>
        <v>11112.625196390401</v>
      </c>
      <c r="L80" s="379">
        <f t="shared" si="8"/>
        <v>0.06</v>
      </c>
      <c r="O80" s="265">
        <f t="shared" si="6"/>
        <v>11112.625196390401</v>
      </c>
      <c r="P80" s="265">
        <f t="shared" si="7"/>
        <v>11112.625196390401</v>
      </c>
    </row>
    <row r="81" spans="1:16" s="558" customFormat="1" ht="13.5">
      <c r="A81" s="383">
        <v>420</v>
      </c>
      <c r="B81" s="163">
        <v>1310</v>
      </c>
      <c r="C81" s="381">
        <v>6691.3</v>
      </c>
      <c r="D81" s="166">
        <v>7360.430000000001</v>
      </c>
      <c r="E81" s="377">
        <v>0.10000000000000014</v>
      </c>
      <c r="F81" s="387">
        <v>8506</v>
      </c>
      <c r="G81" s="81">
        <v>9016.36</v>
      </c>
      <c r="H81" s="273">
        <f t="shared" si="5"/>
        <v>9557.341600000002</v>
      </c>
      <c r="I81" s="273">
        <v>10130.782096</v>
      </c>
      <c r="J81" s="273">
        <v>10738.62902176</v>
      </c>
      <c r="K81" s="265">
        <f t="shared" si="9"/>
        <v>11382.9467630656</v>
      </c>
      <c r="L81" s="379">
        <f t="shared" si="8"/>
        <v>0.06</v>
      </c>
      <c r="O81" s="265">
        <f t="shared" si="6"/>
        <v>11382.9467630656</v>
      </c>
      <c r="P81" s="265">
        <f t="shared" si="7"/>
        <v>11382.9467630656</v>
      </c>
    </row>
    <row r="82" spans="1:16" ht="13.5">
      <c r="A82" s="383">
        <v>430</v>
      </c>
      <c r="B82" s="163">
        <v>1310</v>
      </c>
      <c r="C82" s="381">
        <v>6849.81</v>
      </c>
      <c r="D82" s="166">
        <v>7534.791000000001</v>
      </c>
      <c r="E82" s="377">
        <v>0.10000000000000009</v>
      </c>
      <c r="F82" s="387">
        <v>8707</v>
      </c>
      <c r="G82" s="81">
        <v>9229.42</v>
      </c>
      <c r="H82" s="273">
        <f t="shared" si="5"/>
        <v>9783.1852</v>
      </c>
      <c r="I82" s="273">
        <v>10370.176312</v>
      </c>
      <c r="J82" s="273">
        <v>10992.38689072</v>
      </c>
      <c r="K82" s="265">
        <f t="shared" si="9"/>
        <v>11651.930104163199</v>
      </c>
      <c r="L82" s="379">
        <f t="shared" si="8"/>
        <v>0.06</v>
      </c>
      <c r="O82" s="265">
        <f t="shared" si="6"/>
        <v>11651.930104163199</v>
      </c>
      <c r="P82" s="265">
        <f t="shared" si="7"/>
        <v>11651.930104163199</v>
      </c>
    </row>
    <row r="83" spans="1:16" ht="13.5">
      <c r="A83" s="383">
        <v>440</v>
      </c>
      <c r="B83" s="163">
        <v>1310</v>
      </c>
      <c r="C83" s="381">
        <v>7008.32</v>
      </c>
      <c r="D83" s="166">
        <v>7709.152</v>
      </c>
      <c r="E83" s="377">
        <v>0.10000000000000005</v>
      </c>
      <c r="F83" s="387">
        <v>8909</v>
      </c>
      <c r="G83" s="81">
        <v>9443.54</v>
      </c>
      <c r="H83" s="273">
        <f t="shared" si="5"/>
        <v>10010.1524</v>
      </c>
      <c r="I83" s="273">
        <v>10610.761544</v>
      </c>
      <c r="J83" s="273">
        <v>11247.407236640001</v>
      </c>
      <c r="K83" s="265">
        <f t="shared" si="9"/>
        <v>11922.251670838401</v>
      </c>
      <c r="L83" s="379">
        <f t="shared" si="8"/>
        <v>0.06</v>
      </c>
      <c r="O83" s="265">
        <f t="shared" si="6"/>
        <v>11922.251670838401</v>
      </c>
      <c r="P83" s="265">
        <f t="shared" si="7"/>
        <v>11922.251670838401</v>
      </c>
    </row>
    <row r="84" spans="1:16" s="559" customFormat="1" ht="13.5">
      <c r="A84" s="383">
        <v>450</v>
      </c>
      <c r="B84" s="163">
        <v>1310</v>
      </c>
      <c r="C84" s="381">
        <v>7172.88</v>
      </c>
      <c r="D84" s="166">
        <v>7890.168000000001</v>
      </c>
      <c r="E84" s="377">
        <v>0.10000000000000006</v>
      </c>
      <c r="F84" s="387">
        <v>9118</v>
      </c>
      <c r="G84" s="81">
        <v>9665.08</v>
      </c>
      <c r="H84" s="273">
        <f t="shared" si="5"/>
        <v>10244.9848</v>
      </c>
      <c r="I84" s="273">
        <v>10859.683888</v>
      </c>
      <c r="J84" s="273">
        <v>11511.264921279999</v>
      </c>
      <c r="K84" s="265">
        <f t="shared" si="9"/>
        <v>12201.940816556798</v>
      </c>
      <c r="L84" s="379">
        <f t="shared" si="8"/>
        <v>0.06</v>
      </c>
      <c r="O84" s="265">
        <f t="shared" si="6"/>
        <v>12201.940816556798</v>
      </c>
      <c r="P84" s="265">
        <f t="shared" si="7"/>
        <v>12201.940816556798</v>
      </c>
    </row>
    <row r="85" spans="1:16" s="559" customFormat="1" ht="13.5">
      <c r="A85" s="383">
        <v>460</v>
      </c>
      <c r="B85" s="163">
        <v>1310</v>
      </c>
      <c r="C85" s="381">
        <v>7331.39</v>
      </c>
      <c r="D85" s="166">
        <v>8064.529000000001</v>
      </c>
      <c r="E85" s="377">
        <v>0.10000000000000013</v>
      </c>
      <c r="F85" s="387">
        <v>9319</v>
      </c>
      <c r="G85" s="81">
        <f>F85*1.06</f>
        <v>9878.140000000001</v>
      </c>
      <c r="H85" s="273">
        <f t="shared" si="5"/>
        <v>10470.828400000002</v>
      </c>
      <c r="I85" s="273">
        <v>11099.078104000002</v>
      </c>
      <c r="J85" s="273">
        <v>11765.022790240002</v>
      </c>
      <c r="K85" s="265">
        <f t="shared" si="9"/>
        <v>12470.924157654403</v>
      </c>
      <c r="L85" s="379">
        <f t="shared" si="8"/>
        <v>0.06</v>
      </c>
      <c r="O85" s="265">
        <f t="shared" si="6"/>
        <v>12470.924157654403</v>
      </c>
      <c r="P85" s="265">
        <f t="shared" si="7"/>
        <v>12470.924157654403</v>
      </c>
    </row>
    <row r="86" spans="1:16" ht="13.5">
      <c r="A86" s="383">
        <v>470</v>
      </c>
      <c r="B86" s="163">
        <v>1310</v>
      </c>
      <c r="C86" s="381">
        <v>7488.69</v>
      </c>
      <c r="D86" s="166">
        <v>8237.559000000001</v>
      </c>
      <c r="E86" s="377">
        <v>0.1000000000000002</v>
      </c>
      <c r="F86" s="387">
        <v>9519</v>
      </c>
      <c r="G86" s="81">
        <v>10090.140000000001</v>
      </c>
      <c r="H86" s="273">
        <f t="shared" si="5"/>
        <v>10695.548400000001</v>
      </c>
      <c r="I86" s="273">
        <v>11337.281304000002</v>
      </c>
      <c r="J86" s="273">
        <v>12017.518182240003</v>
      </c>
      <c r="K86" s="265">
        <f t="shared" si="9"/>
        <v>12738.569273174402</v>
      </c>
      <c r="L86" s="379">
        <f t="shared" si="8"/>
        <v>0.06</v>
      </c>
      <c r="M86" s="155"/>
      <c r="N86" s="155"/>
      <c r="O86" s="265">
        <f t="shared" si="6"/>
        <v>12738.569273174402</v>
      </c>
      <c r="P86" s="265">
        <f t="shared" si="7"/>
        <v>12738.569273174402</v>
      </c>
    </row>
    <row r="87" spans="1:16" ht="13.5">
      <c r="A87" s="383">
        <v>480</v>
      </c>
      <c r="B87" s="163">
        <v>1310</v>
      </c>
      <c r="C87" s="381">
        <v>7647.2</v>
      </c>
      <c r="D87" s="166">
        <v>8411.92</v>
      </c>
      <c r="E87" s="377">
        <v>0.10000000000000003</v>
      </c>
      <c r="F87" s="387">
        <v>9721</v>
      </c>
      <c r="G87" s="81">
        <v>10304.26</v>
      </c>
      <c r="H87" s="273">
        <f t="shared" si="5"/>
        <v>10922.5156</v>
      </c>
      <c r="I87" s="273">
        <v>11577.866536000001</v>
      </c>
      <c r="J87" s="273">
        <v>12272.538528160001</v>
      </c>
      <c r="K87" s="265">
        <f t="shared" si="9"/>
        <v>13008.8908398496</v>
      </c>
      <c r="L87" s="379">
        <f t="shared" si="8"/>
        <v>0.06</v>
      </c>
      <c r="M87" s="155"/>
      <c r="N87" s="155"/>
      <c r="O87" s="265">
        <f t="shared" si="6"/>
        <v>13008.8908398496</v>
      </c>
      <c r="P87" s="265">
        <f t="shared" si="7"/>
        <v>13008.8908398496</v>
      </c>
    </row>
    <row r="88" spans="1:16" ht="13.5">
      <c r="A88" s="383">
        <v>490</v>
      </c>
      <c r="B88" s="163">
        <v>1310</v>
      </c>
      <c r="C88" s="381">
        <v>7805.71</v>
      </c>
      <c r="D88" s="166">
        <v>8586.281</v>
      </c>
      <c r="E88" s="377">
        <v>0.1000000000000001</v>
      </c>
      <c r="F88" s="387">
        <v>9922</v>
      </c>
      <c r="G88" s="81">
        <v>10517.32</v>
      </c>
      <c r="H88" s="273">
        <f t="shared" si="5"/>
        <v>11148.3592</v>
      </c>
      <c r="I88" s="273">
        <v>11817.260752</v>
      </c>
      <c r="J88" s="273">
        <v>12526.29639712</v>
      </c>
      <c r="K88" s="265">
        <f t="shared" si="9"/>
        <v>13277.874180947201</v>
      </c>
      <c r="L88" s="379">
        <f t="shared" si="8"/>
        <v>0.06</v>
      </c>
      <c r="M88" s="155"/>
      <c r="N88" s="155"/>
      <c r="O88" s="265">
        <f t="shared" si="6"/>
        <v>13277.874180947201</v>
      </c>
      <c r="P88" s="265">
        <f t="shared" si="7"/>
        <v>13277.874180947201</v>
      </c>
    </row>
    <row r="89" spans="1:16" s="157" customFormat="1" ht="13.5">
      <c r="A89" s="383">
        <v>500</v>
      </c>
      <c r="B89" s="163">
        <v>1310</v>
      </c>
      <c r="C89" s="381">
        <v>7964.22</v>
      </c>
      <c r="D89" s="166">
        <v>8760.642000000002</v>
      </c>
      <c r="E89" s="377">
        <v>0.10000000000000017</v>
      </c>
      <c r="F89" s="387">
        <v>10124</v>
      </c>
      <c r="G89" s="81">
        <v>10731.44</v>
      </c>
      <c r="H89" s="273">
        <f t="shared" si="5"/>
        <v>11375.326400000002</v>
      </c>
      <c r="I89" s="273">
        <v>12057.845984000001</v>
      </c>
      <c r="J89" s="273">
        <v>12781.31674304</v>
      </c>
      <c r="K89" s="265">
        <f t="shared" si="9"/>
        <v>13548.195747622402</v>
      </c>
      <c r="L89" s="379">
        <f t="shared" si="8"/>
        <v>0.06</v>
      </c>
      <c r="M89" s="157">
        <f>1143*1.06</f>
        <v>1211.5800000000002</v>
      </c>
      <c r="N89" s="157">
        <f>165*1.06</f>
        <v>174.9</v>
      </c>
      <c r="O89" s="265">
        <f t="shared" si="6"/>
        <v>13548.195747622402</v>
      </c>
      <c r="P89" s="265">
        <f t="shared" si="7"/>
        <v>13548.195747622402</v>
      </c>
    </row>
    <row r="90" spans="1:16" s="157" customFormat="1" ht="13.5">
      <c r="A90" s="383">
        <v>510</v>
      </c>
      <c r="B90" s="163">
        <v>1310</v>
      </c>
      <c r="C90" s="381">
        <v>8121.52</v>
      </c>
      <c r="D90" s="166">
        <v>8933.672</v>
      </c>
      <c r="E90" s="377">
        <v>0.1</v>
      </c>
      <c r="F90" s="387">
        <v>10324</v>
      </c>
      <c r="G90" s="81">
        <v>10943.44</v>
      </c>
      <c r="H90" s="273">
        <f t="shared" si="5"/>
        <v>11600.046400000001</v>
      </c>
      <c r="I90" s="273">
        <v>12296.049184000001</v>
      </c>
      <c r="J90" s="273">
        <v>13033.812135040002</v>
      </c>
      <c r="K90" s="265">
        <f t="shared" si="9"/>
        <v>13815.8408631424</v>
      </c>
      <c r="L90" s="379">
        <f t="shared" si="8"/>
        <v>0.06</v>
      </c>
      <c r="M90" s="157">
        <f>1143*1.06</f>
        <v>1211.5800000000002</v>
      </c>
      <c r="N90" s="157">
        <v>174.9</v>
      </c>
      <c r="O90" s="265">
        <f t="shared" si="6"/>
        <v>13815.8408631424</v>
      </c>
      <c r="P90" s="265">
        <f t="shared" si="7"/>
        <v>13815.8408631424</v>
      </c>
    </row>
    <row r="91" spans="1:16" s="157" customFormat="1" ht="13.5">
      <c r="A91" s="383">
        <v>520</v>
      </c>
      <c r="B91" s="163">
        <v>1310</v>
      </c>
      <c r="C91" s="381">
        <v>8280.03</v>
      </c>
      <c r="D91" s="166">
        <v>9108.033000000001</v>
      </c>
      <c r="E91" s="377">
        <v>0.10000000000000006</v>
      </c>
      <c r="F91" s="387">
        <v>10525</v>
      </c>
      <c r="G91" s="81">
        <v>11156.5</v>
      </c>
      <c r="H91" s="273">
        <f t="shared" si="5"/>
        <v>11825.890000000001</v>
      </c>
      <c r="I91" s="273">
        <v>12535.443400000002</v>
      </c>
      <c r="J91" s="273">
        <v>13287.570004000001</v>
      </c>
      <c r="K91" s="265">
        <f t="shared" si="9"/>
        <v>14084.824204240002</v>
      </c>
      <c r="L91" s="379">
        <f t="shared" si="8"/>
        <v>0.06</v>
      </c>
      <c r="M91" s="157">
        <f>1143*1.06</f>
        <v>1211.5800000000002</v>
      </c>
      <c r="N91" s="157">
        <f>156*1.06</f>
        <v>165.36</v>
      </c>
      <c r="O91" s="265">
        <f t="shared" si="6"/>
        <v>14084.824204240002</v>
      </c>
      <c r="P91" s="265">
        <f t="shared" si="7"/>
        <v>14084.824204240002</v>
      </c>
    </row>
    <row r="92" spans="1:16" s="157" customFormat="1" ht="13.5">
      <c r="A92" s="383">
        <v>530</v>
      </c>
      <c r="B92" s="163">
        <v>1310</v>
      </c>
      <c r="C92" s="381">
        <v>8445.8</v>
      </c>
      <c r="D92" s="166">
        <v>9290.38</v>
      </c>
      <c r="E92" s="377">
        <v>0.1</v>
      </c>
      <c r="F92" s="387">
        <v>10736</v>
      </c>
      <c r="G92" s="81">
        <v>11380.16</v>
      </c>
      <c r="H92" s="273">
        <f t="shared" si="5"/>
        <v>12062.9696</v>
      </c>
      <c r="I92" s="273">
        <v>12786.747776</v>
      </c>
      <c r="J92" s="273">
        <v>13553.95264256</v>
      </c>
      <c r="K92" s="265">
        <f t="shared" si="9"/>
        <v>14367.1898011136</v>
      </c>
      <c r="L92" s="379">
        <f t="shared" si="8"/>
        <v>0.06</v>
      </c>
      <c r="M92" s="157">
        <f>1143*1.06</f>
        <v>1211.5800000000002</v>
      </c>
      <c r="N92" s="157">
        <v>165.36</v>
      </c>
      <c r="O92" s="265">
        <f t="shared" si="6"/>
        <v>14367.1898011136</v>
      </c>
      <c r="P92" s="265">
        <f t="shared" si="7"/>
        <v>14367.1898011136</v>
      </c>
    </row>
    <row r="93" spans="1:16" s="157" customFormat="1" ht="13.5">
      <c r="A93" s="383">
        <v>540</v>
      </c>
      <c r="B93" s="163">
        <v>1310</v>
      </c>
      <c r="C93" s="381">
        <v>8603.1</v>
      </c>
      <c r="D93" s="166">
        <v>9463.410000000002</v>
      </c>
      <c r="E93" s="377">
        <v>0.10000000000000014</v>
      </c>
      <c r="F93" s="387">
        <v>10936</v>
      </c>
      <c r="G93" s="81">
        <v>11592.16</v>
      </c>
      <c r="H93" s="273">
        <f t="shared" si="5"/>
        <v>12287.6896</v>
      </c>
      <c r="I93" s="273">
        <v>13024.950976</v>
      </c>
      <c r="J93" s="273">
        <v>13806.44803456</v>
      </c>
      <c r="K93" s="265">
        <f t="shared" si="9"/>
        <v>14634.834916633601</v>
      </c>
      <c r="L93" s="379">
        <f t="shared" si="8"/>
        <v>0.06</v>
      </c>
      <c r="M93" s="157">
        <f>1143*1.06</f>
        <v>1211.5800000000002</v>
      </c>
      <c r="N93" s="157">
        <v>165.36</v>
      </c>
      <c r="O93" s="265">
        <f t="shared" si="6"/>
        <v>14634.834916633601</v>
      </c>
      <c r="P93" s="265">
        <f t="shared" si="7"/>
        <v>14634.834916633601</v>
      </c>
    </row>
    <row r="94" spans="1:16" ht="13.5">
      <c r="A94" s="383">
        <v>550</v>
      </c>
      <c r="B94" s="163">
        <v>1310</v>
      </c>
      <c r="C94" s="381">
        <v>8761.61</v>
      </c>
      <c r="D94" s="166">
        <v>9637.771</v>
      </c>
      <c r="E94" s="377">
        <v>0.1</v>
      </c>
      <c r="F94" s="387">
        <v>11137</v>
      </c>
      <c r="G94" s="81">
        <v>11805</v>
      </c>
      <c r="H94" s="273">
        <f t="shared" si="5"/>
        <v>12513.300000000001</v>
      </c>
      <c r="I94" s="273">
        <v>13264.098000000002</v>
      </c>
      <c r="J94" s="273">
        <v>14059.943880000003</v>
      </c>
      <c r="K94" s="265">
        <f t="shared" si="9"/>
        <v>14903.540512800002</v>
      </c>
      <c r="L94" s="379">
        <f t="shared" si="8"/>
        <v>0.06</v>
      </c>
      <c r="M94" s="155"/>
      <c r="N94" s="155"/>
      <c r="O94" s="265">
        <f t="shared" si="6"/>
        <v>14903.540512800002</v>
      </c>
      <c r="P94" s="265">
        <f t="shared" si="7"/>
        <v>14903.540512800002</v>
      </c>
    </row>
    <row r="95" spans="1:16" ht="13.5">
      <c r="A95" s="383">
        <v>560</v>
      </c>
      <c r="B95" s="163">
        <v>1310</v>
      </c>
      <c r="C95" s="381">
        <v>8926.17</v>
      </c>
      <c r="D95" s="166">
        <v>9818.787</v>
      </c>
      <c r="E95" s="377">
        <v>0.10000000000000002</v>
      </c>
      <c r="F95" s="387">
        <v>11347</v>
      </c>
      <c r="G95" s="81">
        <v>12027.82</v>
      </c>
      <c r="H95" s="273">
        <f t="shared" si="5"/>
        <v>12749.4892</v>
      </c>
      <c r="I95" s="273">
        <v>13514.458552</v>
      </c>
      <c r="J95" s="273">
        <v>14325.32606512</v>
      </c>
      <c r="K95" s="265">
        <f t="shared" si="9"/>
        <v>15184.8456290272</v>
      </c>
      <c r="L95" s="379">
        <f t="shared" si="8"/>
        <v>0.06</v>
      </c>
      <c r="M95" s="155"/>
      <c r="N95" s="155"/>
      <c r="O95" s="265">
        <f t="shared" si="6"/>
        <v>15184.8456290272</v>
      </c>
      <c r="P95" s="265">
        <f t="shared" si="7"/>
        <v>15184.8456290272</v>
      </c>
    </row>
    <row r="96" spans="1:16" s="559" customFormat="1" ht="13.5">
      <c r="A96" s="383">
        <v>570</v>
      </c>
      <c r="B96" s="163">
        <v>1310</v>
      </c>
      <c r="C96" s="381">
        <v>9077.42</v>
      </c>
      <c r="D96" s="166">
        <v>9985.162</v>
      </c>
      <c r="E96" s="377">
        <v>0.10000000000000002</v>
      </c>
      <c r="F96" s="387">
        <v>11539</v>
      </c>
      <c r="G96" s="81">
        <v>12231.34</v>
      </c>
      <c r="H96" s="273">
        <f t="shared" si="5"/>
        <v>12965.2204</v>
      </c>
      <c r="I96" s="273">
        <v>13743.133624</v>
      </c>
      <c r="J96" s="273">
        <v>14567.721641439999</v>
      </c>
      <c r="K96" s="265">
        <f t="shared" si="9"/>
        <v>15441.7849399264</v>
      </c>
      <c r="L96" s="379">
        <f t="shared" si="8"/>
        <v>0.06</v>
      </c>
      <c r="M96" s="511"/>
      <c r="N96" s="511"/>
      <c r="O96" s="265">
        <f t="shared" si="6"/>
        <v>15441.7849399264</v>
      </c>
      <c r="P96" s="265">
        <f t="shared" si="7"/>
        <v>15441.7849399264</v>
      </c>
    </row>
    <row r="97" spans="1:16" s="558" customFormat="1" ht="13.5">
      <c r="A97" s="383">
        <v>580</v>
      </c>
      <c r="B97" s="163">
        <v>1310</v>
      </c>
      <c r="C97" s="381">
        <v>9243.19</v>
      </c>
      <c r="D97" s="166">
        <v>10167.509000000002</v>
      </c>
      <c r="E97" s="377">
        <v>0.10000000000000014</v>
      </c>
      <c r="F97" s="387">
        <v>11750</v>
      </c>
      <c r="G97" s="81">
        <v>12455</v>
      </c>
      <c r="H97" s="273">
        <f t="shared" si="5"/>
        <v>13202.300000000001</v>
      </c>
      <c r="I97" s="273">
        <v>13994.438000000002</v>
      </c>
      <c r="J97" s="273">
        <v>14834.104280000001</v>
      </c>
      <c r="K97" s="265">
        <f t="shared" si="9"/>
        <v>15724.150536800002</v>
      </c>
      <c r="L97" s="379">
        <f t="shared" si="8"/>
        <v>0.06</v>
      </c>
      <c r="M97" s="159"/>
      <c r="N97" s="159"/>
      <c r="O97" s="265">
        <f t="shared" si="6"/>
        <v>15724.150536800002</v>
      </c>
      <c r="P97" s="265">
        <f t="shared" si="7"/>
        <v>15724.150536800002</v>
      </c>
    </row>
    <row r="98" spans="1:16" ht="13.5">
      <c r="A98" s="383">
        <v>590</v>
      </c>
      <c r="B98" s="163">
        <v>1310</v>
      </c>
      <c r="C98" s="381">
        <v>9401.7</v>
      </c>
      <c r="D98" s="166">
        <v>10341.87</v>
      </c>
      <c r="E98" s="377">
        <v>0.1</v>
      </c>
      <c r="F98" s="387">
        <v>11951</v>
      </c>
      <c r="G98" s="81">
        <v>12668.060000000001</v>
      </c>
      <c r="H98" s="273">
        <f t="shared" si="5"/>
        <v>13428.143600000001</v>
      </c>
      <c r="I98" s="273">
        <v>14233.832216</v>
      </c>
      <c r="J98" s="273">
        <v>15087.862148960001</v>
      </c>
      <c r="K98" s="265">
        <f t="shared" si="9"/>
        <v>15993.1338778976</v>
      </c>
      <c r="L98" s="379">
        <f t="shared" si="8"/>
        <v>0.06</v>
      </c>
      <c r="M98" s="155"/>
      <c r="N98" s="155"/>
      <c r="O98" s="265">
        <f t="shared" si="6"/>
        <v>15993.1338778976</v>
      </c>
      <c r="P98" s="265">
        <f t="shared" si="7"/>
        <v>15993.1338778976</v>
      </c>
    </row>
    <row r="99" spans="1:16" ht="13.5">
      <c r="A99" s="383">
        <v>600</v>
      </c>
      <c r="B99" s="163">
        <v>1310</v>
      </c>
      <c r="C99" s="381">
        <v>9573.52</v>
      </c>
      <c r="D99" s="166">
        <v>10530.872000000001</v>
      </c>
      <c r="E99" s="377">
        <v>0.10000000000000007</v>
      </c>
      <c r="F99" s="387">
        <v>12169</v>
      </c>
      <c r="G99" s="81">
        <v>12899.140000000001</v>
      </c>
      <c r="H99" s="273">
        <f t="shared" si="5"/>
        <v>13673.088400000002</v>
      </c>
      <c r="I99" s="273">
        <v>14493.473704000002</v>
      </c>
      <c r="J99" s="273">
        <v>15363.082126240002</v>
      </c>
      <c r="K99" s="265">
        <f t="shared" si="9"/>
        <v>16284.867053814402</v>
      </c>
      <c r="L99" s="379">
        <f t="shared" si="8"/>
        <v>0.06</v>
      </c>
      <c r="M99" s="155"/>
      <c r="N99" s="155"/>
      <c r="O99" s="265">
        <f t="shared" si="6"/>
        <v>16284.867053814402</v>
      </c>
      <c r="P99" s="265">
        <f t="shared" si="7"/>
        <v>16284.867053814402</v>
      </c>
    </row>
    <row r="100" spans="1:16" s="559" customFormat="1" ht="13.5">
      <c r="A100" s="383">
        <v>610</v>
      </c>
      <c r="B100" s="163">
        <v>1310</v>
      </c>
      <c r="C100" s="381">
        <v>9717.51</v>
      </c>
      <c r="D100" s="166">
        <v>10689.261</v>
      </c>
      <c r="E100" s="377">
        <v>0.10000000000000002</v>
      </c>
      <c r="F100" s="387">
        <v>12353</v>
      </c>
      <c r="G100" s="81">
        <v>13094.18</v>
      </c>
      <c r="H100" s="273">
        <f t="shared" si="5"/>
        <v>13879.830800000002</v>
      </c>
      <c r="I100" s="273">
        <v>14712.620648000002</v>
      </c>
      <c r="J100" s="273">
        <v>15595.377886880002</v>
      </c>
      <c r="K100" s="265">
        <f t="shared" si="9"/>
        <v>16531.1005600928</v>
      </c>
      <c r="L100" s="379">
        <f t="shared" si="8"/>
        <v>0.06</v>
      </c>
      <c r="M100" s="511"/>
      <c r="N100" s="511"/>
      <c r="O100" s="265">
        <f t="shared" si="6"/>
        <v>16531.1005600928</v>
      </c>
      <c r="P100" s="265">
        <f t="shared" si="7"/>
        <v>16531.1005600928</v>
      </c>
    </row>
    <row r="101" spans="1:16" s="559" customFormat="1" ht="13.5">
      <c r="A101" s="383">
        <v>620</v>
      </c>
      <c r="B101" s="163">
        <v>1310</v>
      </c>
      <c r="C101" s="381">
        <v>9876.02</v>
      </c>
      <c r="D101" s="166">
        <v>10863.622000000001</v>
      </c>
      <c r="E101" s="377">
        <v>0.10000000000000007</v>
      </c>
      <c r="F101" s="387">
        <v>12554</v>
      </c>
      <c r="G101" s="81">
        <v>13307.24</v>
      </c>
      <c r="H101" s="273">
        <f t="shared" si="5"/>
        <v>14105.6744</v>
      </c>
      <c r="I101" s="273">
        <v>14952.014864</v>
      </c>
      <c r="J101" s="273">
        <v>15849.135755840001</v>
      </c>
      <c r="K101" s="265">
        <f t="shared" si="9"/>
        <v>16800.083901190403</v>
      </c>
      <c r="L101" s="379">
        <f t="shared" si="8"/>
        <v>0.06</v>
      </c>
      <c r="M101" s="511"/>
      <c r="N101" s="511"/>
      <c r="O101" s="265">
        <f t="shared" si="6"/>
        <v>16800.083901190403</v>
      </c>
      <c r="P101" s="265">
        <f t="shared" si="7"/>
        <v>16800.083901190403</v>
      </c>
    </row>
    <row r="102" spans="1:16" ht="13.5">
      <c r="A102" s="383">
        <v>630</v>
      </c>
      <c r="B102" s="163">
        <v>1310</v>
      </c>
      <c r="C102" s="381">
        <v>10033.32</v>
      </c>
      <c r="D102" s="166">
        <v>11036.652</v>
      </c>
      <c r="E102" s="377">
        <v>0.10000000000000003</v>
      </c>
      <c r="F102" s="387">
        <v>12754</v>
      </c>
      <c r="G102" s="81">
        <v>13519.24</v>
      </c>
      <c r="H102" s="273">
        <f t="shared" si="5"/>
        <v>14330.394400000001</v>
      </c>
      <c r="I102" s="273">
        <v>15190.218064</v>
      </c>
      <c r="J102" s="273">
        <v>16101.63114784</v>
      </c>
      <c r="K102" s="265">
        <f t="shared" si="9"/>
        <v>17067.7290167104</v>
      </c>
      <c r="L102" s="379">
        <f t="shared" si="8"/>
        <v>0.06</v>
      </c>
      <c r="M102" s="155"/>
      <c r="N102" s="155"/>
      <c r="O102" s="265">
        <f t="shared" si="6"/>
        <v>17067.7290167104</v>
      </c>
      <c r="P102" s="265">
        <f t="shared" si="7"/>
        <v>17067.7290167104</v>
      </c>
    </row>
    <row r="103" spans="1:16" s="558" customFormat="1" ht="13.5">
      <c r="A103" s="383">
        <v>640</v>
      </c>
      <c r="B103" s="163">
        <v>1310</v>
      </c>
      <c r="C103" s="381">
        <v>10191.83</v>
      </c>
      <c r="D103" s="166">
        <v>11211.013</v>
      </c>
      <c r="E103" s="377">
        <v>0.10000000000000009</v>
      </c>
      <c r="F103" s="387">
        <v>12955</v>
      </c>
      <c r="G103" s="81">
        <v>13732.300000000001</v>
      </c>
      <c r="H103" s="273">
        <f t="shared" si="5"/>
        <v>14556.238000000001</v>
      </c>
      <c r="I103" s="273">
        <v>15429.612280000001</v>
      </c>
      <c r="J103" s="273">
        <v>16355.389016800002</v>
      </c>
      <c r="K103" s="265">
        <f t="shared" si="9"/>
        <v>17336.712357808003</v>
      </c>
      <c r="L103" s="379">
        <f t="shared" si="8"/>
        <v>0.06</v>
      </c>
      <c r="M103" s="159"/>
      <c r="N103" s="159"/>
      <c r="O103" s="265">
        <f t="shared" si="6"/>
        <v>17336.712357808003</v>
      </c>
      <c r="P103" s="265">
        <f t="shared" si="7"/>
        <v>17336.712357808003</v>
      </c>
    </row>
    <row r="104" spans="1:16" s="558" customFormat="1" ht="13.5">
      <c r="A104" s="383">
        <v>650</v>
      </c>
      <c r="B104" s="163">
        <v>1310</v>
      </c>
      <c r="C104" s="381">
        <v>10350.34</v>
      </c>
      <c r="D104" s="166">
        <v>11385.374000000002</v>
      </c>
      <c r="E104" s="377">
        <v>0.10000000000000014</v>
      </c>
      <c r="F104" s="387">
        <v>13157</v>
      </c>
      <c r="G104" s="81">
        <v>13946.42</v>
      </c>
      <c r="H104" s="273">
        <f t="shared" si="5"/>
        <v>14783.2052</v>
      </c>
      <c r="I104" s="273">
        <v>15670.197512</v>
      </c>
      <c r="J104" s="273">
        <v>16610.40936272</v>
      </c>
      <c r="K104" s="265">
        <f t="shared" si="9"/>
        <v>17607.033924483203</v>
      </c>
      <c r="L104" s="379">
        <f t="shared" si="8"/>
        <v>0.06</v>
      </c>
      <c r="M104" s="159"/>
      <c r="N104" s="159"/>
      <c r="O104" s="265">
        <f t="shared" si="6"/>
        <v>17607.033924483203</v>
      </c>
      <c r="P104" s="265">
        <f t="shared" si="7"/>
        <v>17607.033924483203</v>
      </c>
    </row>
    <row r="105" spans="1:16" ht="13.5">
      <c r="A105" s="383">
        <v>660</v>
      </c>
      <c r="B105" s="163">
        <v>1310</v>
      </c>
      <c r="C105" s="381">
        <v>10514.9</v>
      </c>
      <c r="D105" s="166">
        <v>11566.390000000001</v>
      </c>
      <c r="E105" s="377">
        <v>0.10000000000000016</v>
      </c>
      <c r="F105" s="387">
        <v>13366</v>
      </c>
      <c r="G105" s="81">
        <v>14167.960000000001</v>
      </c>
      <c r="H105" s="273">
        <f t="shared" si="5"/>
        <v>15018.037600000001</v>
      </c>
      <c r="I105" s="273">
        <v>15919.119856000001</v>
      </c>
      <c r="J105" s="273">
        <v>16874.26704736</v>
      </c>
      <c r="K105" s="265">
        <f t="shared" si="9"/>
        <v>17886.723070201602</v>
      </c>
      <c r="L105" s="379">
        <f t="shared" si="8"/>
        <v>0.06</v>
      </c>
      <c r="M105" s="155"/>
      <c r="N105" s="155"/>
      <c r="O105" s="265">
        <f t="shared" si="6"/>
        <v>17886.723070201602</v>
      </c>
      <c r="P105" s="265">
        <f t="shared" si="7"/>
        <v>17886.723070201602</v>
      </c>
    </row>
    <row r="106" spans="1:16" ht="13.5">
      <c r="A106" s="383">
        <v>670</v>
      </c>
      <c r="B106" s="163">
        <v>1310</v>
      </c>
      <c r="C106" s="381">
        <v>10673.41</v>
      </c>
      <c r="D106" s="166">
        <v>11740.751</v>
      </c>
      <c r="E106" s="377">
        <v>0.10000000000000003</v>
      </c>
      <c r="F106" s="387">
        <v>13568</v>
      </c>
      <c r="G106" s="81">
        <v>14382.08</v>
      </c>
      <c r="H106" s="273">
        <f aca="true" t="shared" si="10" ref="H106:H180">G106*1.06</f>
        <v>15245.0048</v>
      </c>
      <c r="I106" s="273">
        <v>16159.705088</v>
      </c>
      <c r="J106" s="273">
        <v>17129.28739328</v>
      </c>
      <c r="K106" s="265">
        <f t="shared" si="9"/>
        <v>18157.0446368768</v>
      </c>
      <c r="L106" s="379">
        <f t="shared" si="8"/>
        <v>0.06</v>
      </c>
      <c r="O106" s="265">
        <f aca="true" t="shared" si="11" ref="O106:O139">(K106*$O$10)+K106</f>
        <v>18157.0446368768</v>
      </c>
      <c r="P106" s="265">
        <f aca="true" t="shared" si="12" ref="P106:P139">(O106*$P$10)+O106</f>
        <v>18157.0446368768</v>
      </c>
    </row>
    <row r="107" spans="1:16" ht="13.5">
      <c r="A107" s="383">
        <v>680</v>
      </c>
      <c r="B107" s="163">
        <v>1310</v>
      </c>
      <c r="C107" s="381">
        <v>10831.92</v>
      </c>
      <c r="D107" s="166">
        <v>11915.112000000001</v>
      </c>
      <c r="E107" s="377">
        <v>0.10000000000000009</v>
      </c>
      <c r="F107" s="387">
        <v>13769</v>
      </c>
      <c r="G107" s="81">
        <v>14595.140000000001</v>
      </c>
      <c r="H107" s="273">
        <f t="shared" si="10"/>
        <v>15470.848400000003</v>
      </c>
      <c r="I107" s="273">
        <v>16399.099304000003</v>
      </c>
      <c r="J107" s="273">
        <v>17383.045262240004</v>
      </c>
      <c r="K107" s="265">
        <f t="shared" si="9"/>
        <v>18426.027977974405</v>
      </c>
      <c r="L107" s="379">
        <f t="shared" si="8"/>
        <v>0.06</v>
      </c>
      <c r="O107" s="265">
        <f t="shared" si="11"/>
        <v>18426.027977974405</v>
      </c>
      <c r="P107" s="265">
        <f t="shared" si="12"/>
        <v>18426.027977974405</v>
      </c>
    </row>
    <row r="108" spans="1:16" ht="13.5">
      <c r="A108" s="383">
        <v>690</v>
      </c>
      <c r="B108" s="163">
        <v>1310</v>
      </c>
      <c r="C108" s="381">
        <v>10996.48</v>
      </c>
      <c r="D108" s="166">
        <v>12096.128</v>
      </c>
      <c r="E108" s="377">
        <v>0.1000000000000001</v>
      </c>
      <c r="F108" s="387">
        <v>13978</v>
      </c>
      <c r="G108" s="81">
        <v>14816.68</v>
      </c>
      <c r="H108" s="273">
        <f t="shared" si="10"/>
        <v>15705.680800000002</v>
      </c>
      <c r="I108" s="273">
        <v>16648.021648</v>
      </c>
      <c r="J108" s="273">
        <v>17646.90294688</v>
      </c>
      <c r="K108" s="265">
        <f t="shared" si="9"/>
        <v>18705.7171236928</v>
      </c>
      <c r="L108" s="379">
        <f t="shared" si="8"/>
        <v>0.06</v>
      </c>
      <c r="O108" s="265">
        <f t="shared" si="11"/>
        <v>18705.7171236928</v>
      </c>
      <c r="P108" s="265">
        <f t="shared" si="12"/>
        <v>18705.7171236928</v>
      </c>
    </row>
    <row r="109" spans="1:16" ht="13.5">
      <c r="A109" s="383">
        <v>700</v>
      </c>
      <c r="B109" s="163">
        <v>1310</v>
      </c>
      <c r="C109" s="381">
        <v>11154.99</v>
      </c>
      <c r="D109" s="166">
        <v>12270.489000000001</v>
      </c>
      <c r="E109" s="377">
        <v>0.10000000000000014</v>
      </c>
      <c r="F109" s="387">
        <v>14180</v>
      </c>
      <c r="G109" s="81">
        <v>15030.800000000001</v>
      </c>
      <c r="H109" s="273">
        <f t="shared" si="10"/>
        <v>15932.648000000003</v>
      </c>
      <c r="I109" s="273">
        <v>16888.606880000003</v>
      </c>
      <c r="J109" s="273">
        <v>17901.923292800002</v>
      </c>
      <c r="K109" s="265">
        <f t="shared" si="9"/>
        <v>18976.038690368</v>
      </c>
      <c r="L109" s="379">
        <f t="shared" si="8"/>
        <v>0.06</v>
      </c>
      <c r="O109" s="265">
        <f t="shared" si="11"/>
        <v>18976.038690368</v>
      </c>
      <c r="P109" s="265">
        <f t="shared" si="12"/>
        <v>18976.038690368</v>
      </c>
    </row>
    <row r="110" spans="1:16" ht="13.5">
      <c r="A110" s="383">
        <v>710</v>
      </c>
      <c r="B110" s="163">
        <v>1310</v>
      </c>
      <c r="C110" s="381">
        <v>11306.24</v>
      </c>
      <c r="D110" s="166">
        <v>12436.864000000001</v>
      </c>
      <c r="E110" s="377">
        <v>0.10000000000000014</v>
      </c>
      <c r="F110" s="387">
        <v>14372</v>
      </c>
      <c r="G110" s="81">
        <v>15234.320000000002</v>
      </c>
      <c r="H110" s="273">
        <f t="shared" si="10"/>
        <v>16148.379200000003</v>
      </c>
      <c r="I110" s="273">
        <v>17117.281952000005</v>
      </c>
      <c r="J110" s="273">
        <v>18144.318869120005</v>
      </c>
      <c r="K110" s="265">
        <f t="shared" si="9"/>
        <v>19232.978001267205</v>
      </c>
      <c r="L110" s="379">
        <f t="shared" si="8"/>
        <v>0.06</v>
      </c>
      <c r="O110" s="265">
        <f t="shared" si="11"/>
        <v>19232.978001267205</v>
      </c>
      <c r="P110" s="265">
        <f t="shared" si="12"/>
        <v>19232.978001267205</v>
      </c>
    </row>
    <row r="111" spans="1:16" ht="13.5">
      <c r="A111" s="383">
        <v>720</v>
      </c>
      <c r="B111" s="163">
        <v>1310</v>
      </c>
      <c r="C111" s="381">
        <v>11470.8</v>
      </c>
      <c r="D111" s="166">
        <v>12617.880000000001</v>
      </c>
      <c r="E111" s="377">
        <v>0.10000000000000016</v>
      </c>
      <c r="F111" s="387">
        <v>14581</v>
      </c>
      <c r="G111" s="81">
        <v>15455.86</v>
      </c>
      <c r="H111" s="273">
        <f t="shared" si="10"/>
        <v>16383.2116</v>
      </c>
      <c r="I111" s="273">
        <v>17366.204296</v>
      </c>
      <c r="J111" s="273">
        <v>18408.17655376</v>
      </c>
      <c r="K111" s="265">
        <f t="shared" si="9"/>
        <v>19512.6671469856</v>
      </c>
      <c r="L111" s="379">
        <f t="shared" si="8"/>
        <v>0.06</v>
      </c>
      <c r="O111" s="265">
        <f t="shared" si="11"/>
        <v>19512.6671469856</v>
      </c>
      <c r="P111" s="265">
        <f t="shared" si="12"/>
        <v>19512.6671469856</v>
      </c>
    </row>
    <row r="112" spans="1:16" ht="13.5">
      <c r="A112" s="383">
        <v>730</v>
      </c>
      <c r="B112" s="163">
        <v>1310</v>
      </c>
      <c r="C112" s="381">
        <v>11635.36</v>
      </c>
      <c r="D112" s="166">
        <v>12798.896000000002</v>
      </c>
      <c r="E112" s="377">
        <v>0.10000000000000016</v>
      </c>
      <c r="F112" s="387">
        <v>14790</v>
      </c>
      <c r="G112" s="81">
        <v>15677.400000000001</v>
      </c>
      <c r="H112" s="273">
        <f t="shared" si="10"/>
        <v>16618.044</v>
      </c>
      <c r="I112" s="273">
        <v>17615.126640000002</v>
      </c>
      <c r="J112" s="273">
        <v>18672.034238400003</v>
      </c>
      <c r="K112" s="265">
        <f t="shared" si="9"/>
        <v>19792.356292704004</v>
      </c>
      <c r="L112" s="379">
        <f t="shared" si="8"/>
        <v>0.06</v>
      </c>
      <c r="O112" s="265">
        <f t="shared" si="11"/>
        <v>19792.356292704004</v>
      </c>
      <c r="P112" s="265">
        <f t="shared" si="12"/>
        <v>19792.356292704004</v>
      </c>
    </row>
    <row r="113" spans="1:16" ht="13.5">
      <c r="A113" s="383">
        <v>740</v>
      </c>
      <c r="B113" s="163">
        <v>1310</v>
      </c>
      <c r="C113" s="381">
        <v>11787.82</v>
      </c>
      <c r="D113" s="166">
        <v>12966.602</v>
      </c>
      <c r="E113" s="377">
        <v>0.10000000000000009</v>
      </c>
      <c r="F113" s="387">
        <v>14984</v>
      </c>
      <c r="G113" s="81">
        <v>15883.04</v>
      </c>
      <c r="H113" s="273">
        <f t="shared" si="10"/>
        <v>16836.0224</v>
      </c>
      <c r="I113" s="273">
        <v>17846.183744</v>
      </c>
      <c r="J113" s="273">
        <v>18916.954768640004</v>
      </c>
      <c r="K113" s="265">
        <f t="shared" si="9"/>
        <v>20051.972054758404</v>
      </c>
      <c r="L113" s="379">
        <f t="shared" si="8"/>
        <v>0.06</v>
      </c>
      <c r="O113" s="265">
        <f t="shared" si="11"/>
        <v>20051.972054758404</v>
      </c>
      <c r="P113" s="265">
        <f t="shared" si="12"/>
        <v>20051.972054758404</v>
      </c>
    </row>
    <row r="114" spans="1:16" ht="13.5">
      <c r="A114" s="383">
        <v>750</v>
      </c>
      <c r="B114" s="163">
        <v>1310</v>
      </c>
      <c r="C114" s="381">
        <v>11945.12</v>
      </c>
      <c r="D114" s="166">
        <v>13139.632000000001</v>
      </c>
      <c r="E114" s="377">
        <v>0.10000000000000005</v>
      </c>
      <c r="F114" s="387">
        <v>15184</v>
      </c>
      <c r="G114" s="81">
        <v>16095.04</v>
      </c>
      <c r="H114" s="273">
        <f t="shared" si="10"/>
        <v>17060.742400000003</v>
      </c>
      <c r="I114" s="273">
        <v>18084.386944</v>
      </c>
      <c r="J114" s="273">
        <v>19169.45016064</v>
      </c>
      <c r="K114" s="265">
        <f t="shared" si="9"/>
        <v>20319.6171702784</v>
      </c>
      <c r="L114" s="379">
        <f t="shared" si="8"/>
        <v>0.06</v>
      </c>
      <c r="O114" s="265">
        <f t="shared" si="11"/>
        <v>20319.6171702784</v>
      </c>
      <c r="P114" s="265">
        <f t="shared" si="12"/>
        <v>20319.6171702784</v>
      </c>
    </row>
    <row r="115" spans="1:16" ht="13.5">
      <c r="A115" s="383">
        <v>760</v>
      </c>
      <c r="B115" s="163">
        <v>1310</v>
      </c>
      <c r="C115" s="381">
        <v>12103.63</v>
      </c>
      <c r="D115" s="166">
        <v>13313.993</v>
      </c>
      <c r="E115" s="377">
        <v>0.1000000000000001</v>
      </c>
      <c r="F115" s="387">
        <v>15386</v>
      </c>
      <c r="G115" s="81">
        <v>16309.160000000002</v>
      </c>
      <c r="H115" s="273">
        <f t="shared" si="10"/>
        <v>17287.709600000002</v>
      </c>
      <c r="I115" s="273">
        <v>18324.972176000003</v>
      </c>
      <c r="J115" s="273">
        <v>19424.470506560003</v>
      </c>
      <c r="K115" s="265">
        <f t="shared" si="9"/>
        <v>20589.9387369536</v>
      </c>
      <c r="L115" s="379">
        <f t="shared" si="8"/>
        <v>0.06</v>
      </c>
      <c r="O115" s="265">
        <f t="shared" si="11"/>
        <v>20589.9387369536</v>
      </c>
      <c r="P115" s="265">
        <f t="shared" si="12"/>
        <v>20589.9387369536</v>
      </c>
    </row>
    <row r="116" spans="1:16" ht="13.5">
      <c r="A116" s="383">
        <v>770</v>
      </c>
      <c r="B116" s="163">
        <v>1310</v>
      </c>
      <c r="C116" s="381">
        <v>12262.14</v>
      </c>
      <c r="D116" s="166">
        <v>13488.354000000001</v>
      </c>
      <c r="E116" s="377">
        <v>0.10000000000000014</v>
      </c>
      <c r="F116" s="387">
        <v>15587</v>
      </c>
      <c r="G116" s="81">
        <v>16522.22</v>
      </c>
      <c r="H116" s="273">
        <f t="shared" si="10"/>
        <v>17513.553200000002</v>
      </c>
      <c r="I116" s="273">
        <v>18564.366392000004</v>
      </c>
      <c r="J116" s="273">
        <v>19678.228375520004</v>
      </c>
      <c r="K116" s="265">
        <f t="shared" si="9"/>
        <v>20858.922078051204</v>
      </c>
      <c r="L116" s="379">
        <f t="shared" si="8"/>
        <v>0.06</v>
      </c>
      <c r="O116" s="265">
        <f t="shared" si="11"/>
        <v>20858.922078051204</v>
      </c>
      <c r="P116" s="265">
        <f t="shared" si="12"/>
        <v>20858.922078051204</v>
      </c>
    </row>
    <row r="117" spans="1:16" ht="13.5">
      <c r="A117" s="383">
        <v>780</v>
      </c>
      <c r="B117" s="163">
        <v>1310</v>
      </c>
      <c r="C117" s="381">
        <v>12426.7</v>
      </c>
      <c r="D117" s="166">
        <v>13669.370000000003</v>
      </c>
      <c r="E117" s="377">
        <v>0.10000000000000014</v>
      </c>
      <c r="F117" s="387">
        <v>15796</v>
      </c>
      <c r="G117" s="81">
        <v>16743.760000000002</v>
      </c>
      <c r="H117" s="273">
        <f t="shared" si="10"/>
        <v>17748.3856</v>
      </c>
      <c r="I117" s="273">
        <v>18813.288736000002</v>
      </c>
      <c r="J117" s="273">
        <v>19942.086060160003</v>
      </c>
      <c r="K117" s="265">
        <f t="shared" si="9"/>
        <v>21138.611223769603</v>
      </c>
      <c r="L117" s="379">
        <f t="shared" si="8"/>
        <v>0.06</v>
      </c>
      <c r="O117" s="265">
        <f t="shared" si="11"/>
        <v>21138.611223769603</v>
      </c>
      <c r="P117" s="265">
        <f t="shared" si="12"/>
        <v>21138.611223769603</v>
      </c>
    </row>
    <row r="118" spans="1:16" ht="13.5">
      <c r="A118" s="383">
        <v>790</v>
      </c>
      <c r="B118" s="163">
        <v>1310</v>
      </c>
      <c r="C118" s="381">
        <v>12585.21</v>
      </c>
      <c r="D118" s="166">
        <v>13843.731</v>
      </c>
      <c r="E118" s="377">
        <v>0.10000000000000006</v>
      </c>
      <c r="F118" s="387">
        <v>15998</v>
      </c>
      <c r="G118" s="81">
        <v>16957.88</v>
      </c>
      <c r="H118" s="273">
        <f t="shared" si="10"/>
        <v>17975.3528</v>
      </c>
      <c r="I118" s="273">
        <v>19053.873968</v>
      </c>
      <c r="J118" s="273">
        <v>20197.106406079998</v>
      </c>
      <c r="K118" s="265">
        <f t="shared" si="9"/>
        <v>21408.932790444796</v>
      </c>
      <c r="L118" s="379">
        <f t="shared" si="8"/>
        <v>0.06</v>
      </c>
      <c r="O118" s="265">
        <f t="shared" si="11"/>
        <v>21408.932790444796</v>
      </c>
      <c r="P118" s="265">
        <f t="shared" si="12"/>
        <v>21408.932790444796</v>
      </c>
    </row>
    <row r="119" spans="1:16" ht="13.5">
      <c r="A119" s="383">
        <v>800</v>
      </c>
      <c r="B119" s="163">
        <v>1310</v>
      </c>
      <c r="C119" s="381">
        <v>12743.72</v>
      </c>
      <c r="D119" s="166">
        <v>14018.092</v>
      </c>
      <c r="E119" s="377">
        <v>0.1000000000000001</v>
      </c>
      <c r="F119" s="387">
        <v>16199</v>
      </c>
      <c r="G119" s="81">
        <v>17170.940000000002</v>
      </c>
      <c r="H119" s="273">
        <f t="shared" si="10"/>
        <v>18201.196400000004</v>
      </c>
      <c r="I119" s="273">
        <v>19293.268184000004</v>
      </c>
      <c r="J119" s="273">
        <v>20450.864275040003</v>
      </c>
      <c r="K119" s="265">
        <f t="shared" si="9"/>
        <v>21677.916131542403</v>
      </c>
      <c r="L119" s="379">
        <f t="shared" si="8"/>
        <v>0.06</v>
      </c>
      <c r="O119" s="265">
        <f t="shared" si="11"/>
        <v>21677.916131542403</v>
      </c>
      <c r="P119" s="265">
        <f t="shared" si="12"/>
        <v>21677.916131542403</v>
      </c>
    </row>
    <row r="120" spans="1:16" ht="13.5">
      <c r="A120" s="383">
        <v>810</v>
      </c>
      <c r="B120" s="163">
        <v>1310</v>
      </c>
      <c r="C120" s="381">
        <v>12901.02</v>
      </c>
      <c r="D120" s="166">
        <v>14191.122000000001</v>
      </c>
      <c r="E120" s="377">
        <v>0.10000000000000006</v>
      </c>
      <c r="F120" s="387">
        <v>16399</v>
      </c>
      <c r="G120" s="81">
        <v>17382.940000000002</v>
      </c>
      <c r="H120" s="273">
        <f t="shared" si="10"/>
        <v>18425.916400000002</v>
      </c>
      <c r="I120" s="273">
        <v>19531.471384</v>
      </c>
      <c r="J120" s="273">
        <v>20703.35966704</v>
      </c>
      <c r="K120" s="265">
        <f t="shared" si="9"/>
        <v>21945.5612470624</v>
      </c>
      <c r="L120" s="379">
        <f t="shared" si="8"/>
        <v>0.06</v>
      </c>
      <c r="O120" s="265">
        <f t="shared" si="11"/>
        <v>21945.5612470624</v>
      </c>
      <c r="P120" s="265">
        <f t="shared" si="12"/>
        <v>21945.5612470624</v>
      </c>
    </row>
    <row r="121" spans="1:16" ht="13.5">
      <c r="A121" s="383">
        <v>820</v>
      </c>
      <c r="B121" s="163">
        <v>1310</v>
      </c>
      <c r="C121" s="381">
        <v>13059.53</v>
      </c>
      <c r="D121" s="166">
        <v>14365.483000000002</v>
      </c>
      <c r="E121" s="377">
        <v>0.1000000000000001</v>
      </c>
      <c r="F121" s="387">
        <v>16601</v>
      </c>
      <c r="G121" s="81">
        <v>17597.06</v>
      </c>
      <c r="H121" s="273">
        <f t="shared" si="10"/>
        <v>18652.8836</v>
      </c>
      <c r="I121" s="273">
        <v>19772.056616</v>
      </c>
      <c r="J121" s="273">
        <v>20958.380012960002</v>
      </c>
      <c r="K121" s="265">
        <f t="shared" si="9"/>
        <v>22215.882813737604</v>
      </c>
      <c r="L121" s="379">
        <f t="shared" si="8"/>
        <v>0.06</v>
      </c>
      <c r="O121" s="265">
        <f t="shared" si="11"/>
        <v>22215.882813737604</v>
      </c>
      <c r="P121" s="265">
        <f t="shared" si="12"/>
        <v>22215.882813737604</v>
      </c>
    </row>
    <row r="122" spans="1:16" ht="13.5">
      <c r="A122" s="383">
        <v>830</v>
      </c>
      <c r="B122" s="163">
        <v>1310</v>
      </c>
      <c r="C122" s="381">
        <v>13218.04</v>
      </c>
      <c r="D122" s="166">
        <v>14539.844000000003</v>
      </c>
      <c r="E122" s="377">
        <v>0.10000000000000014</v>
      </c>
      <c r="F122" s="387">
        <v>16802</v>
      </c>
      <c r="G122" s="81">
        <v>17810.120000000003</v>
      </c>
      <c r="H122" s="273">
        <f t="shared" si="10"/>
        <v>18878.727200000005</v>
      </c>
      <c r="I122" s="273">
        <v>20011.450832000006</v>
      </c>
      <c r="J122" s="273">
        <v>21212.137881920007</v>
      </c>
      <c r="K122" s="265">
        <f t="shared" si="9"/>
        <v>22484.866154835207</v>
      </c>
      <c r="L122" s="379">
        <f t="shared" si="8"/>
        <v>0.06</v>
      </c>
      <c r="O122" s="265">
        <f t="shared" si="11"/>
        <v>22484.866154835207</v>
      </c>
      <c r="P122" s="265">
        <f t="shared" si="12"/>
        <v>22484.866154835207</v>
      </c>
    </row>
    <row r="123" spans="1:16" ht="13.5">
      <c r="A123" s="383">
        <v>840</v>
      </c>
      <c r="B123" s="163">
        <v>1310</v>
      </c>
      <c r="C123" s="381">
        <v>13375.34</v>
      </c>
      <c r="D123" s="166">
        <v>14712.874000000002</v>
      </c>
      <c r="E123" s="377">
        <v>0.1000000000000001</v>
      </c>
      <c r="F123" s="387">
        <v>17002</v>
      </c>
      <c r="G123" s="81">
        <v>18022.120000000003</v>
      </c>
      <c r="H123" s="273">
        <f t="shared" si="10"/>
        <v>19103.447200000002</v>
      </c>
      <c r="I123" s="273">
        <v>20249.654032000002</v>
      </c>
      <c r="J123" s="273">
        <v>21464.63327392</v>
      </c>
      <c r="K123" s="265">
        <f t="shared" si="9"/>
        <v>22752.5112703552</v>
      </c>
      <c r="L123" s="379">
        <f t="shared" si="8"/>
        <v>0.06</v>
      </c>
      <c r="O123" s="265">
        <f t="shared" si="11"/>
        <v>22752.5112703552</v>
      </c>
      <c r="P123" s="265">
        <f t="shared" si="12"/>
        <v>22752.5112703552</v>
      </c>
    </row>
    <row r="124" spans="1:16" ht="13.5">
      <c r="A124" s="383">
        <v>850</v>
      </c>
      <c r="B124" s="163">
        <v>1310</v>
      </c>
      <c r="C124" s="381">
        <v>13533.85</v>
      </c>
      <c r="D124" s="166">
        <v>14887.235000000002</v>
      </c>
      <c r="E124" s="377">
        <v>0.10000000000000014</v>
      </c>
      <c r="F124" s="387">
        <v>17204</v>
      </c>
      <c r="G124" s="81">
        <v>18236.24</v>
      </c>
      <c r="H124" s="273">
        <f t="shared" si="10"/>
        <v>19330.4144</v>
      </c>
      <c r="I124" s="273">
        <v>20490.239264</v>
      </c>
      <c r="J124" s="273">
        <v>21719.65361984</v>
      </c>
      <c r="K124" s="265">
        <f t="shared" si="9"/>
        <v>23022.8328370304</v>
      </c>
      <c r="L124" s="379">
        <f t="shared" si="8"/>
        <v>0.06</v>
      </c>
      <c r="O124" s="265">
        <f t="shared" si="11"/>
        <v>23022.8328370304</v>
      </c>
      <c r="P124" s="265">
        <f t="shared" si="12"/>
        <v>23022.8328370304</v>
      </c>
    </row>
    <row r="125" spans="1:16" ht="13.5">
      <c r="A125" s="383">
        <v>860</v>
      </c>
      <c r="B125" s="163">
        <v>1310</v>
      </c>
      <c r="C125" s="381">
        <v>13699.62</v>
      </c>
      <c r="D125" s="166">
        <v>15069.582000000002</v>
      </c>
      <c r="E125" s="377">
        <v>0.10000000000000009</v>
      </c>
      <c r="F125" s="387">
        <v>17414</v>
      </c>
      <c r="G125" s="81">
        <v>18458.84</v>
      </c>
      <c r="H125" s="273">
        <f t="shared" si="10"/>
        <v>19566.3704</v>
      </c>
      <c r="I125" s="273">
        <v>20740.352624</v>
      </c>
      <c r="J125" s="273">
        <v>21984.77378144</v>
      </c>
      <c r="K125" s="265">
        <f t="shared" si="9"/>
        <v>23303.860208326398</v>
      </c>
      <c r="L125" s="379">
        <f t="shared" si="8"/>
        <v>0.06</v>
      </c>
      <c r="O125" s="265">
        <f t="shared" si="11"/>
        <v>23303.860208326398</v>
      </c>
      <c r="P125" s="265">
        <f t="shared" si="12"/>
        <v>23303.860208326398</v>
      </c>
    </row>
    <row r="126" spans="1:16" ht="13.5">
      <c r="A126" s="383">
        <v>870</v>
      </c>
      <c r="B126" s="163">
        <v>1310</v>
      </c>
      <c r="C126" s="381">
        <v>13856.92</v>
      </c>
      <c r="D126" s="166">
        <v>15242.612000000001</v>
      </c>
      <c r="E126" s="377">
        <v>0.10000000000000006</v>
      </c>
      <c r="F126" s="387">
        <v>17614</v>
      </c>
      <c r="G126" s="81">
        <v>18670.84</v>
      </c>
      <c r="H126" s="273">
        <f t="shared" si="10"/>
        <v>19791.0904</v>
      </c>
      <c r="I126" s="273">
        <v>20978.555824000003</v>
      </c>
      <c r="J126" s="273">
        <v>22237.269173440003</v>
      </c>
      <c r="K126" s="265">
        <f t="shared" si="9"/>
        <v>23571.505323846402</v>
      </c>
      <c r="L126" s="379">
        <f t="shared" si="8"/>
        <v>0.06</v>
      </c>
      <c r="O126" s="265">
        <f t="shared" si="11"/>
        <v>23571.505323846402</v>
      </c>
      <c r="P126" s="265">
        <f t="shared" si="12"/>
        <v>23571.505323846402</v>
      </c>
    </row>
    <row r="127" spans="1:16" ht="13.5">
      <c r="A127" s="383">
        <v>880</v>
      </c>
      <c r="B127" s="163">
        <v>1310</v>
      </c>
      <c r="C127" s="381">
        <v>14015.43</v>
      </c>
      <c r="D127" s="166">
        <v>15416.973000000002</v>
      </c>
      <c r="E127" s="377">
        <v>0.1000000000000001</v>
      </c>
      <c r="F127" s="387">
        <v>17816</v>
      </c>
      <c r="G127" s="81">
        <v>18884.960000000003</v>
      </c>
      <c r="H127" s="273">
        <f t="shared" si="10"/>
        <v>20018.057600000004</v>
      </c>
      <c r="I127" s="273">
        <v>21219.141056000004</v>
      </c>
      <c r="J127" s="273">
        <v>22492.289519360005</v>
      </c>
      <c r="K127" s="265">
        <f t="shared" si="9"/>
        <v>23841.826890521606</v>
      </c>
      <c r="L127" s="379">
        <f t="shared" si="8"/>
        <v>0.06</v>
      </c>
      <c r="O127" s="265">
        <f t="shared" si="11"/>
        <v>23841.826890521606</v>
      </c>
      <c r="P127" s="265">
        <f t="shared" si="12"/>
        <v>23841.826890521606</v>
      </c>
    </row>
    <row r="128" spans="1:16" ht="13.5">
      <c r="A128" s="383">
        <v>890</v>
      </c>
      <c r="B128" s="163">
        <v>1310</v>
      </c>
      <c r="C128" s="381">
        <v>14173.94</v>
      </c>
      <c r="D128" s="166">
        <v>15591.334000000003</v>
      </c>
      <c r="E128" s="377">
        <v>0.10000000000000014</v>
      </c>
      <c r="F128" s="387">
        <v>18017</v>
      </c>
      <c r="G128" s="81">
        <v>19098.02</v>
      </c>
      <c r="H128" s="273">
        <f t="shared" si="10"/>
        <v>20243.9012</v>
      </c>
      <c r="I128" s="273">
        <v>21458.535272</v>
      </c>
      <c r="J128" s="273">
        <v>22746.04738832</v>
      </c>
      <c r="K128" s="265">
        <f t="shared" si="9"/>
        <v>24110.810231619198</v>
      </c>
      <c r="L128" s="379">
        <f t="shared" si="8"/>
        <v>0.06</v>
      </c>
      <c r="O128" s="265">
        <f t="shared" si="11"/>
        <v>24110.810231619198</v>
      </c>
      <c r="P128" s="265">
        <f t="shared" si="12"/>
        <v>24110.810231619198</v>
      </c>
    </row>
    <row r="129" spans="1:16" ht="13.5">
      <c r="A129" s="383">
        <v>900</v>
      </c>
      <c r="B129" s="163">
        <v>1310</v>
      </c>
      <c r="C129" s="381">
        <v>14331.24</v>
      </c>
      <c r="D129" s="166">
        <v>15764.364000000001</v>
      </c>
      <c r="E129" s="377">
        <v>0.10000000000000012</v>
      </c>
      <c r="F129" s="387">
        <v>18217</v>
      </c>
      <c r="G129" s="81">
        <v>19310.02</v>
      </c>
      <c r="H129" s="273">
        <f t="shared" si="10"/>
        <v>20468.6212</v>
      </c>
      <c r="I129" s="273">
        <v>21696.738472</v>
      </c>
      <c r="J129" s="273">
        <v>22998.54278032</v>
      </c>
      <c r="K129" s="265">
        <f t="shared" si="9"/>
        <v>24378.4553471392</v>
      </c>
      <c r="L129" s="379">
        <f t="shared" si="8"/>
        <v>0.06</v>
      </c>
      <c r="O129" s="265">
        <f t="shared" si="11"/>
        <v>24378.4553471392</v>
      </c>
      <c r="P129" s="265">
        <f t="shared" si="12"/>
        <v>24378.4553471392</v>
      </c>
    </row>
    <row r="130" spans="1:16" ht="13.5">
      <c r="A130" s="383">
        <v>910</v>
      </c>
      <c r="B130" s="163">
        <v>1310</v>
      </c>
      <c r="C130" s="381">
        <v>14489.75</v>
      </c>
      <c r="D130" s="166">
        <v>15938.725000000002</v>
      </c>
      <c r="E130" s="377">
        <v>0.10000000000000014</v>
      </c>
      <c r="F130" s="387">
        <v>18419</v>
      </c>
      <c r="G130" s="81">
        <v>19524.14</v>
      </c>
      <c r="H130" s="273">
        <f t="shared" si="10"/>
        <v>20695.5884</v>
      </c>
      <c r="I130" s="273">
        <v>21937.323704000002</v>
      </c>
      <c r="J130" s="273">
        <v>23253.563126240002</v>
      </c>
      <c r="K130" s="265">
        <f t="shared" si="9"/>
        <v>24648.776913814403</v>
      </c>
      <c r="L130" s="379">
        <f t="shared" si="8"/>
        <v>0.06</v>
      </c>
      <c r="O130" s="265">
        <f t="shared" si="11"/>
        <v>24648.776913814403</v>
      </c>
      <c r="P130" s="265">
        <f t="shared" si="12"/>
        <v>24648.776913814403</v>
      </c>
    </row>
    <row r="131" spans="1:16" ht="13.5">
      <c r="A131" s="383">
        <v>920</v>
      </c>
      <c r="B131" s="163">
        <v>1310</v>
      </c>
      <c r="C131" s="381">
        <v>14655.52</v>
      </c>
      <c r="D131" s="166">
        <v>16121.072000000002</v>
      </c>
      <c r="E131" s="377">
        <v>0.1000000000000001</v>
      </c>
      <c r="F131" s="387">
        <v>18630</v>
      </c>
      <c r="G131" s="81">
        <v>19747.8</v>
      </c>
      <c r="H131" s="273">
        <f t="shared" si="10"/>
        <v>20932.668</v>
      </c>
      <c r="I131" s="273">
        <v>22188.628080000002</v>
      </c>
      <c r="J131" s="273">
        <v>23519.945764800003</v>
      </c>
      <c r="K131" s="265">
        <f t="shared" si="9"/>
        <v>24931.142510688</v>
      </c>
      <c r="L131" s="379">
        <f t="shared" si="8"/>
        <v>0.06</v>
      </c>
      <c r="O131" s="265">
        <f t="shared" si="11"/>
        <v>24931.142510688</v>
      </c>
      <c r="P131" s="265">
        <f t="shared" si="12"/>
        <v>24931.142510688</v>
      </c>
    </row>
    <row r="132" spans="1:16" ht="13.5">
      <c r="A132" s="383">
        <v>930</v>
      </c>
      <c r="B132" s="163">
        <v>1310</v>
      </c>
      <c r="C132" s="381">
        <v>14812.82</v>
      </c>
      <c r="D132" s="166">
        <v>16294.102</v>
      </c>
      <c r="E132" s="377">
        <v>0.10000000000000007</v>
      </c>
      <c r="F132" s="387">
        <v>18829</v>
      </c>
      <c r="G132" s="81">
        <v>19958.74</v>
      </c>
      <c r="H132" s="273">
        <f t="shared" si="10"/>
        <v>21156.264400000004</v>
      </c>
      <c r="I132" s="273">
        <v>22425.640264000005</v>
      </c>
      <c r="J132" s="273">
        <v>23771.178679840006</v>
      </c>
      <c r="K132" s="265">
        <f t="shared" si="9"/>
        <v>25197.449400630405</v>
      </c>
      <c r="L132" s="379">
        <f t="shared" si="8"/>
        <v>0.06</v>
      </c>
      <c r="O132" s="265">
        <f t="shared" si="11"/>
        <v>25197.449400630405</v>
      </c>
      <c r="P132" s="265">
        <f t="shared" si="12"/>
        <v>25197.449400630405</v>
      </c>
    </row>
    <row r="133" spans="1:16" ht="13.5">
      <c r="A133" s="383">
        <v>940</v>
      </c>
      <c r="B133" s="163">
        <v>1310</v>
      </c>
      <c r="C133" s="381">
        <v>14978.59</v>
      </c>
      <c r="D133" s="166">
        <v>16476.449</v>
      </c>
      <c r="E133" s="377">
        <v>0.10000000000000002</v>
      </c>
      <c r="F133" s="387">
        <v>19040</v>
      </c>
      <c r="G133" s="81">
        <v>20182.4</v>
      </c>
      <c r="H133" s="273">
        <f t="shared" si="10"/>
        <v>21393.344</v>
      </c>
      <c r="I133" s="273">
        <v>22676.94464</v>
      </c>
      <c r="J133" s="273">
        <v>24037.561318400003</v>
      </c>
      <c r="K133" s="265">
        <f t="shared" si="9"/>
        <v>25479.814997504003</v>
      </c>
      <c r="L133" s="379">
        <f t="shared" si="8"/>
        <v>0.06</v>
      </c>
      <c r="O133" s="265">
        <f t="shared" si="11"/>
        <v>25479.814997504003</v>
      </c>
      <c r="P133" s="265">
        <f t="shared" si="12"/>
        <v>25479.814997504003</v>
      </c>
    </row>
    <row r="134" spans="1:16" ht="13.5">
      <c r="A134" s="383">
        <v>950</v>
      </c>
      <c r="B134" s="163">
        <v>1310</v>
      </c>
      <c r="C134" s="381">
        <v>15137.1</v>
      </c>
      <c r="D134" s="166">
        <v>16650.81</v>
      </c>
      <c r="E134" s="377">
        <v>0.10000000000000006</v>
      </c>
      <c r="F134" s="387">
        <v>19242</v>
      </c>
      <c r="G134" s="81">
        <v>20396.52</v>
      </c>
      <c r="H134" s="273">
        <f t="shared" si="10"/>
        <v>21620.3112</v>
      </c>
      <c r="I134" s="273">
        <v>22917.529872</v>
      </c>
      <c r="J134" s="273">
        <v>24292.581664319998</v>
      </c>
      <c r="K134" s="265">
        <f t="shared" si="9"/>
        <v>25750.136564179196</v>
      </c>
      <c r="L134" s="379">
        <f t="shared" si="8"/>
        <v>0.06</v>
      </c>
      <c r="O134" s="265">
        <f t="shared" si="11"/>
        <v>25750.136564179196</v>
      </c>
      <c r="P134" s="265">
        <f t="shared" si="12"/>
        <v>25750.136564179196</v>
      </c>
    </row>
    <row r="135" spans="1:16" ht="13.5">
      <c r="A135" s="383">
        <v>960</v>
      </c>
      <c r="B135" s="163">
        <v>1310</v>
      </c>
      <c r="C135" s="381">
        <v>15294.4</v>
      </c>
      <c r="D135" s="166">
        <v>16823.84</v>
      </c>
      <c r="E135" s="377">
        <v>0.10000000000000003</v>
      </c>
      <c r="F135" s="387">
        <v>19442</v>
      </c>
      <c r="G135" s="81">
        <v>20608.52</v>
      </c>
      <c r="H135" s="273">
        <f t="shared" si="10"/>
        <v>21845.0312</v>
      </c>
      <c r="I135" s="273">
        <v>23155.733072000003</v>
      </c>
      <c r="J135" s="273">
        <v>24545.077056320002</v>
      </c>
      <c r="K135" s="265">
        <f t="shared" si="9"/>
        <v>26017.7816796992</v>
      </c>
      <c r="L135" s="379">
        <f t="shared" si="8"/>
        <v>0.06</v>
      </c>
      <c r="O135" s="265">
        <f t="shared" si="11"/>
        <v>26017.7816796992</v>
      </c>
      <c r="P135" s="265">
        <f t="shared" si="12"/>
        <v>26017.7816796992</v>
      </c>
    </row>
    <row r="136" spans="1:16" ht="13.5">
      <c r="A136" s="383">
        <v>970</v>
      </c>
      <c r="B136" s="163">
        <v>1310</v>
      </c>
      <c r="C136" s="381">
        <v>15452.91</v>
      </c>
      <c r="D136" s="166">
        <v>16998.201</v>
      </c>
      <c r="E136" s="377">
        <v>0.10000000000000007</v>
      </c>
      <c r="F136" s="387">
        <v>19643</v>
      </c>
      <c r="G136" s="81">
        <v>20821.58</v>
      </c>
      <c r="H136" s="273">
        <f t="shared" si="10"/>
        <v>22070.8748</v>
      </c>
      <c r="I136" s="273">
        <v>23395.127288000003</v>
      </c>
      <c r="J136" s="273">
        <v>24798.834925280004</v>
      </c>
      <c r="K136" s="265">
        <f t="shared" si="9"/>
        <v>26286.765020796804</v>
      </c>
      <c r="L136" s="379">
        <f t="shared" si="8"/>
        <v>0.06</v>
      </c>
      <c r="O136" s="265">
        <f t="shared" si="11"/>
        <v>26286.765020796804</v>
      </c>
      <c r="P136" s="265">
        <f t="shared" si="12"/>
        <v>26286.765020796804</v>
      </c>
    </row>
    <row r="137" spans="1:16" ht="13.5">
      <c r="A137" s="383">
        <v>980</v>
      </c>
      <c r="B137" s="163">
        <v>1310</v>
      </c>
      <c r="C137" s="381">
        <v>15611.42</v>
      </c>
      <c r="D137" s="166">
        <v>17172.562</v>
      </c>
      <c r="E137" s="377">
        <v>0.1000000000000001</v>
      </c>
      <c r="F137" s="387">
        <v>19845</v>
      </c>
      <c r="G137" s="81">
        <v>21035.7</v>
      </c>
      <c r="H137" s="273">
        <f t="shared" si="10"/>
        <v>22297.842</v>
      </c>
      <c r="I137" s="273">
        <v>23635.71252</v>
      </c>
      <c r="J137" s="273">
        <v>25053.855271200002</v>
      </c>
      <c r="K137" s="265">
        <f t="shared" si="9"/>
        <v>26557.086587472</v>
      </c>
      <c r="L137" s="379">
        <f t="shared" si="8"/>
        <v>0.06</v>
      </c>
      <c r="O137" s="265">
        <f t="shared" si="11"/>
        <v>26557.086587472</v>
      </c>
      <c r="P137" s="265">
        <f t="shared" si="12"/>
        <v>26557.086587472</v>
      </c>
    </row>
    <row r="138" spans="1:16" ht="13.5">
      <c r="A138" s="383">
        <v>990</v>
      </c>
      <c r="B138" s="163">
        <v>1310</v>
      </c>
      <c r="C138" s="381">
        <v>15768.72</v>
      </c>
      <c r="D138" s="166">
        <v>17345.592</v>
      </c>
      <c r="E138" s="377">
        <v>0.10000000000000007</v>
      </c>
      <c r="F138" s="387">
        <v>20045</v>
      </c>
      <c r="G138" s="81">
        <v>21247.7</v>
      </c>
      <c r="H138" s="273">
        <f t="shared" si="10"/>
        <v>22522.562</v>
      </c>
      <c r="I138" s="273">
        <v>23873.91572</v>
      </c>
      <c r="J138" s="273">
        <v>25306.3506632</v>
      </c>
      <c r="K138" s="265">
        <f t="shared" si="9"/>
        <v>26824.731702991998</v>
      </c>
      <c r="L138" s="379">
        <f t="shared" si="8"/>
        <v>0.06</v>
      </c>
      <c r="O138" s="265">
        <f t="shared" si="11"/>
        <v>26824.731702991998</v>
      </c>
      <c r="P138" s="265">
        <f t="shared" si="12"/>
        <v>26824.731702991998</v>
      </c>
    </row>
    <row r="139" spans="1:16" ht="13.5">
      <c r="A139" s="383">
        <v>1000</v>
      </c>
      <c r="B139" s="163">
        <v>1310</v>
      </c>
      <c r="C139" s="381">
        <v>15927.23</v>
      </c>
      <c r="D139" s="166">
        <v>17519.953</v>
      </c>
      <c r="E139" s="377">
        <v>0.10000000000000012</v>
      </c>
      <c r="F139" s="387">
        <v>20246</v>
      </c>
      <c r="G139" s="81">
        <v>21460.760000000002</v>
      </c>
      <c r="H139" s="273">
        <f t="shared" si="10"/>
        <v>22748.405600000002</v>
      </c>
      <c r="I139" s="273">
        <v>24113.309936</v>
      </c>
      <c r="J139" s="273">
        <v>25560.10853216</v>
      </c>
      <c r="K139" s="265">
        <f t="shared" si="9"/>
        <v>27093.7150440896</v>
      </c>
      <c r="L139" s="379">
        <f t="shared" si="8"/>
        <v>0.06</v>
      </c>
      <c r="O139" s="265">
        <f t="shared" si="11"/>
        <v>27093.7150440896</v>
      </c>
      <c r="P139" s="265">
        <f t="shared" si="12"/>
        <v>27093.7150440896</v>
      </c>
    </row>
    <row r="140" spans="1:16" ht="40.5">
      <c r="A140" s="396" t="s">
        <v>404</v>
      </c>
      <c r="B140" s="242">
        <v>1310</v>
      </c>
      <c r="C140" s="388" t="s">
        <v>572</v>
      </c>
      <c r="D140" s="173" t="s">
        <v>752</v>
      </c>
      <c r="E140" s="389">
        <v>0.1</v>
      </c>
      <c r="F140" s="397" t="s">
        <v>943</v>
      </c>
      <c r="G140" s="274" t="s">
        <v>944</v>
      </c>
      <c r="H140" s="286" t="s">
        <v>1055</v>
      </c>
      <c r="I140" s="286" t="s">
        <v>1056</v>
      </c>
      <c r="J140" s="286" t="s">
        <v>1069</v>
      </c>
      <c r="K140" s="286" t="s">
        <v>1058</v>
      </c>
      <c r="L140" s="379">
        <f t="shared" si="8"/>
        <v>0.06</v>
      </c>
      <c r="O140" s="286" t="s">
        <v>1069</v>
      </c>
      <c r="P140" s="286" t="s">
        <v>1069</v>
      </c>
    </row>
    <row r="141" spans="1:16" ht="40.5">
      <c r="A141" s="396" t="s">
        <v>405</v>
      </c>
      <c r="B141" s="242">
        <v>1310</v>
      </c>
      <c r="C141" s="388" t="s">
        <v>573</v>
      </c>
      <c r="D141" s="173" t="s">
        <v>753</v>
      </c>
      <c r="E141" s="389">
        <v>0.1</v>
      </c>
      <c r="F141" s="397" t="s">
        <v>945</v>
      </c>
      <c r="G141" s="398" t="s">
        <v>962</v>
      </c>
      <c r="H141" s="399" t="s">
        <v>1058</v>
      </c>
      <c r="I141" s="286" t="s">
        <v>1057</v>
      </c>
      <c r="J141" s="286" t="s">
        <v>1070</v>
      </c>
      <c r="K141" s="286" t="s">
        <v>1297</v>
      </c>
      <c r="L141" s="379">
        <f>$L$9</f>
        <v>0.06</v>
      </c>
      <c r="O141" s="286" t="s">
        <v>1070</v>
      </c>
      <c r="P141" s="286" t="s">
        <v>1070</v>
      </c>
    </row>
    <row r="142" spans="1:15" ht="13.5">
      <c r="A142" s="383"/>
      <c r="B142" s="163"/>
      <c r="C142" s="381"/>
      <c r="D142" s="166"/>
      <c r="E142" s="377"/>
      <c r="F142" s="367"/>
      <c r="G142" s="368"/>
      <c r="H142" s="273"/>
      <c r="I142" s="273"/>
      <c r="J142" s="273"/>
      <c r="K142" s="265"/>
      <c r="L142" s="379"/>
      <c r="O142" s="265"/>
    </row>
    <row r="143" spans="1:16" ht="13.5">
      <c r="A143" s="517" t="s">
        <v>233</v>
      </c>
      <c r="B143" s="160"/>
      <c r="C143" s="404"/>
      <c r="D143" s="161"/>
      <c r="E143" s="385"/>
      <c r="F143" s="392"/>
      <c r="G143" s="392"/>
      <c r="H143" s="515"/>
      <c r="I143" s="515"/>
      <c r="J143" s="515"/>
      <c r="K143" s="265"/>
      <c r="L143" s="516"/>
      <c r="O143" s="265"/>
      <c r="P143" s="265"/>
    </row>
    <row r="144" spans="1:16" ht="13.5">
      <c r="A144" s="383" t="s">
        <v>234</v>
      </c>
      <c r="B144" s="163">
        <v>1310</v>
      </c>
      <c r="C144" s="391">
        <v>919.6</v>
      </c>
      <c r="D144" s="384">
        <v>1011.5600000000001</v>
      </c>
      <c r="E144" s="377">
        <v>0.10000000000000003</v>
      </c>
      <c r="F144" s="400">
        <v>1169</v>
      </c>
      <c r="G144" s="81">
        <v>1239.14</v>
      </c>
      <c r="H144" s="273">
        <f t="shared" si="10"/>
        <v>1313.4884000000002</v>
      </c>
      <c r="I144" s="273">
        <v>1392.2977040000003</v>
      </c>
      <c r="J144" s="273">
        <v>1475.8355662400004</v>
      </c>
      <c r="K144" s="265">
        <f aca="true" t="shared" si="13" ref="K144:K200">(J144*L144)+J144</f>
        <v>1564.3857002144005</v>
      </c>
      <c r="L144" s="379">
        <f>$L$9</f>
        <v>0.06</v>
      </c>
      <c r="O144" s="265">
        <f aca="true" t="shared" si="14" ref="O144:O164">(K144*$O$10)+K144</f>
        <v>1564.3857002144005</v>
      </c>
      <c r="P144" s="265">
        <f>(O144*$P$10)+O144</f>
        <v>1564.3857002144005</v>
      </c>
    </row>
    <row r="145" spans="1:16" ht="13.5">
      <c r="A145" s="383" t="s">
        <v>235</v>
      </c>
      <c r="B145" s="163">
        <v>1310</v>
      </c>
      <c r="C145" s="391">
        <v>4600.42</v>
      </c>
      <c r="D145" s="384">
        <v>5060.462</v>
      </c>
      <c r="E145" s="377">
        <v>0.10000000000000007</v>
      </c>
      <c r="F145" s="401">
        <v>5848</v>
      </c>
      <c r="G145" s="81">
        <v>6198.88</v>
      </c>
      <c r="H145" s="273">
        <f t="shared" si="10"/>
        <v>6570.812800000001</v>
      </c>
      <c r="I145" s="273">
        <v>6965.061568000001</v>
      </c>
      <c r="J145" s="273">
        <v>7382.965262080001</v>
      </c>
      <c r="K145" s="265">
        <f t="shared" si="13"/>
        <v>7825.943177804801</v>
      </c>
      <c r="L145" s="379">
        <f>$L$9</f>
        <v>0.06</v>
      </c>
      <c r="O145" s="265">
        <f t="shared" si="14"/>
        <v>7825.943177804801</v>
      </c>
      <c r="P145" s="265">
        <f>(O145*$P$10)+O145</f>
        <v>7825.943177804801</v>
      </c>
    </row>
    <row r="146" spans="1:16" s="559" customFormat="1" ht="13.5">
      <c r="A146" s="786" t="s">
        <v>1299</v>
      </c>
      <c r="B146" s="505"/>
      <c r="C146" s="787"/>
      <c r="D146" s="788"/>
      <c r="E146" s="507"/>
      <c r="F146" s="401"/>
      <c r="G146" s="508"/>
      <c r="H146" s="509"/>
      <c r="I146" s="509"/>
      <c r="J146" s="509" t="s">
        <v>1184</v>
      </c>
      <c r="K146" s="441">
        <v>2000</v>
      </c>
      <c r="L146" s="510"/>
      <c r="M146" s="559">
        <v>0</v>
      </c>
      <c r="O146" s="441">
        <v>2000</v>
      </c>
      <c r="P146" s="441">
        <v>2000</v>
      </c>
    </row>
    <row r="147" spans="1:16" ht="13.5">
      <c r="A147" s="174" t="s">
        <v>236</v>
      </c>
      <c r="B147" s="174">
        <v>1310</v>
      </c>
      <c r="C147" s="174">
        <v>762.3</v>
      </c>
      <c r="D147" s="166">
        <v>838.53</v>
      </c>
      <c r="E147" s="377">
        <v>0.10000000000000003</v>
      </c>
      <c r="F147" s="387">
        <v>969</v>
      </c>
      <c r="G147" s="81">
        <v>1027.14</v>
      </c>
      <c r="H147" s="273">
        <f t="shared" si="10"/>
        <v>1088.7684000000002</v>
      </c>
      <c r="I147" s="273">
        <v>1154.0945040000001</v>
      </c>
      <c r="J147" s="273">
        <v>1223.3401742400001</v>
      </c>
      <c r="K147" s="265">
        <f t="shared" si="13"/>
        <v>1296.7405846944002</v>
      </c>
      <c r="L147" s="379">
        <f>$L$9</f>
        <v>0.06</v>
      </c>
      <c r="O147" s="265">
        <f t="shared" si="14"/>
        <v>1296.7405846944002</v>
      </c>
      <c r="P147" s="265">
        <f>(O147*$P$10)+O147</f>
        <v>1296.7405846944002</v>
      </c>
    </row>
    <row r="148" spans="1:16" ht="13.5">
      <c r="A148" s="160" t="s">
        <v>237</v>
      </c>
      <c r="B148" s="160">
        <v>1310</v>
      </c>
      <c r="C148" s="174" t="s">
        <v>574</v>
      </c>
      <c r="D148" s="166" t="s">
        <v>574</v>
      </c>
      <c r="E148" s="377"/>
      <c r="F148" s="402"/>
      <c r="G148" s="274"/>
      <c r="H148" s="273"/>
      <c r="I148" s="273"/>
      <c r="J148" s="273"/>
      <c r="K148" s="265"/>
      <c r="L148" s="379"/>
      <c r="O148" s="265"/>
      <c r="P148" s="265"/>
    </row>
    <row r="149" spans="1:16" ht="13.5">
      <c r="A149" s="163" t="s">
        <v>238</v>
      </c>
      <c r="B149" s="163">
        <v>1310</v>
      </c>
      <c r="C149" s="380">
        <v>1581.47</v>
      </c>
      <c r="D149" s="166">
        <v>1739.6170000000002</v>
      </c>
      <c r="E149" s="377">
        <v>0.1000000000000001</v>
      </c>
      <c r="F149" s="387">
        <v>2010</v>
      </c>
      <c r="G149" s="81">
        <v>2130.6</v>
      </c>
      <c r="H149" s="273">
        <f t="shared" si="10"/>
        <v>2258.436</v>
      </c>
      <c r="I149" s="273">
        <v>2393.94216</v>
      </c>
      <c r="J149" s="273">
        <v>2537.5786896</v>
      </c>
      <c r="K149" s="265">
        <f t="shared" si="13"/>
        <v>2689.833410976</v>
      </c>
      <c r="L149" s="379">
        <f>$L$9</f>
        <v>0.06</v>
      </c>
      <c r="O149" s="265">
        <f t="shared" si="14"/>
        <v>2689.833410976</v>
      </c>
      <c r="P149" s="265">
        <f>(O149*$P$10)+O149</f>
        <v>2689.833410976</v>
      </c>
    </row>
    <row r="150" spans="1:16" ht="13.5">
      <c r="A150" s="163" t="s">
        <v>239</v>
      </c>
      <c r="B150" s="163">
        <v>1310</v>
      </c>
      <c r="C150" s="381">
        <v>7618.16</v>
      </c>
      <c r="D150" s="166">
        <v>8379.976</v>
      </c>
      <c r="E150" s="377">
        <v>0.10000000000000009</v>
      </c>
      <c r="F150" s="387">
        <v>9684</v>
      </c>
      <c r="G150" s="81">
        <v>10265.04</v>
      </c>
      <c r="H150" s="273">
        <f t="shared" si="10"/>
        <v>10880.942400000002</v>
      </c>
      <c r="I150" s="273">
        <v>11533.798944000002</v>
      </c>
      <c r="J150" s="273">
        <v>12225.826880640003</v>
      </c>
      <c r="K150" s="265">
        <f t="shared" si="13"/>
        <v>12959.376493478403</v>
      </c>
      <c r="L150" s="379">
        <f>$L$9</f>
        <v>0.06</v>
      </c>
      <c r="O150" s="265">
        <f t="shared" si="14"/>
        <v>12959.376493478403</v>
      </c>
      <c r="P150" s="265">
        <f>(O150*$P$10)+O150</f>
        <v>12959.376493478403</v>
      </c>
    </row>
    <row r="151" spans="1:16" ht="13.5">
      <c r="A151" s="160" t="s">
        <v>240</v>
      </c>
      <c r="B151" s="163">
        <v>1310</v>
      </c>
      <c r="C151" s="163" t="s">
        <v>575</v>
      </c>
      <c r="D151" s="166" t="s">
        <v>754</v>
      </c>
      <c r="E151" s="377">
        <v>0.1</v>
      </c>
      <c r="F151" s="403"/>
      <c r="G151" s="81"/>
      <c r="H151" s="273"/>
      <c r="I151" s="273"/>
      <c r="J151" s="273"/>
      <c r="K151" s="265"/>
      <c r="L151" s="379">
        <f>$L$9</f>
        <v>0.06</v>
      </c>
      <c r="O151" s="265"/>
      <c r="P151" s="265"/>
    </row>
    <row r="152" spans="1:16" s="559" customFormat="1" ht="13.5">
      <c r="A152" s="505" t="s">
        <v>1300</v>
      </c>
      <c r="B152" s="505"/>
      <c r="C152" s="505"/>
      <c r="D152" s="506"/>
      <c r="E152" s="507"/>
      <c r="F152" s="403"/>
      <c r="G152" s="508"/>
      <c r="H152" s="509"/>
      <c r="I152" s="509"/>
      <c r="J152" s="509" t="s">
        <v>1184</v>
      </c>
      <c r="K152" s="441">
        <v>0</v>
      </c>
      <c r="L152" s="510"/>
      <c r="O152" s="441">
        <v>0</v>
      </c>
      <c r="P152" s="441">
        <v>0</v>
      </c>
    </row>
    <row r="153" spans="1:16" ht="13.5">
      <c r="A153" s="163" t="s">
        <v>241</v>
      </c>
      <c r="B153" s="163">
        <v>1310</v>
      </c>
      <c r="C153" s="391">
        <v>459.8</v>
      </c>
      <c r="D153" s="384">
        <v>505.78000000000003</v>
      </c>
      <c r="E153" s="377">
        <v>0.10000000000000003</v>
      </c>
      <c r="F153" s="387">
        <v>1606</v>
      </c>
      <c r="G153" s="81">
        <v>1702.3600000000001</v>
      </c>
      <c r="H153" s="273">
        <f t="shared" si="10"/>
        <v>1804.5016000000003</v>
      </c>
      <c r="I153" s="273">
        <v>1912.7716960000002</v>
      </c>
      <c r="J153" s="273">
        <v>2027.5379977600003</v>
      </c>
      <c r="K153" s="265">
        <f t="shared" si="13"/>
        <v>2027.5379977600003</v>
      </c>
      <c r="L153" s="379">
        <v>0</v>
      </c>
      <c r="O153" s="265">
        <f t="shared" si="14"/>
        <v>2027.5379977600003</v>
      </c>
      <c r="P153" s="265">
        <f aca="true" t="shared" si="15" ref="P153:P164">(O153*$P$10)+O153</f>
        <v>2027.5379977600003</v>
      </c>
    </row>
    <row r="154" spans="1:16" s="559" customFormat="1" ht="13.5">
      <c r="A154" s="505" t="s">
        <v>1301</v>
      </c>
      <c r="B154" s="505"/>
      <c r="C154" s="787"/>
      <c r="D154" s="788"/>
      <c r="E154" s="507"/>
      <c r="F154" s="387"/>
      <c r="G154" s="508"/>
      <c r="H154" s="509"/>
      <c r="I154" s="509"/>
      <c r="J154" s="509" t="s">
        <v>1184</v>
      </c>
      <c r="K154" s="441" t="s">
        <v>1302</v>
      </c>
      <c r="L154" s="510"/>
      <c r="O154" s="441" t="s">
        <v>1302</v>
      </c>
      <c r="P154" s="441" t="s">
        <v>1302</v>
      </c>
    </row>
    <row r="155" spans="1:16" ht="13.5">
      <c r="A155" s="163" t="s">
        <v>242</v>
      </c>
      <c r="B155" s="163">
        <v>1310</v>
      </c>
      <c r="C155" s="381">
        <v>459.8</v>
      </c>
      <c r="D155" s="166">
        <v>505.78000000000003</v>
      </c>
      <c r="E155" s="377">
        <v>0.10000000000000003</v>
      </c>
      <c r="F155" s="387">
        <v>584</v>
      </c>
      <c r="G155" s="81">
        <v>619.0400000000001</v>
      </c>
      <c r="H155" s="273">
        <f t="shared" si="10"/>
        <v>656.1824000000001</v>
      </c>
      <c r="I155" s="273">
        <v>695.5533440000002</v>
      </c>
      <c r="J155" s="273">
        <v>737.2865446400001</v>
      </c>
      <c r="K155" s="265">
        <f t="shared" si="13"/>
        <v>737.2865446400001</v>
      </c>
      <c r="L155" s="379">
        <v>0</v>
      </c>
      <c r="O155" s="265">
        <f t="shared" si="14"/>
        <v>737.2865446400001</v>
      </c>
      <c r="P155" s="265">
        <f t="shared" si="15"/>
        <v>737.2865446400001</v>
      </c>
    </row>
    <row r="156" spans="1:16" ht="13.5">
      <c r="A156" s="174" t="s">
        <v>1289</v>
      </c>
      <c r="B156" s="174"/>
      <c r="C156" s="773"/>
      <c r="D156" s="166"/>
      <c r="E156" s="377"/>
      <c r="F156" s="378"/>
      <c r="G156" s="81"/>
      <c r="H156" s="273"/>
      <c r="I156" s="273" t="s">
        <v>1184</v>
      </c>
      <c r="J156" s="273">
        <v>800</v>
      </c>
      <c r="K156" s="265">
        <f t="shared" si="13"/>
        <v>800</v>
      </c>
      <c r="L156" s="379">
        <v>0</v>
      </c>
      <c r="O156" s="265">
        <f t="shared" si="14"/>
        <v>800</v>
      </c>
      <c r="P156" s="265">
        <f t="shared" si="15"/>
        <v>800</v>
      </c>
    </row>
    <row r="157" spans="1:16" ht="13.5">
      <c r="A157" s="174" t="s">
        <v>1247</v>
      </c>
      <c r="B157" s="174"/>
      <c r="C157" s="773"/>
      <c r="D157" s="166"/>
      <c r="E157" s="377"/>
      <c r="F157" s="378"/>
      <c r="G157" s="81"/>
      <c r="H157" s="273"/>
      <c r="I157" s="273" t="s">
        <v>1184</v>
      </c>
      <c r="J157" s="273">
        <v>5000</v>
      </c>
      <c r="K157" s="265">
        <f t="shared" si="13"/>
        <v>5000</v>
      </c>
      <c r="L157" s="379">
        <v>0</v>
      </c>
      <c r="O157" s="265">
        <f t="shared" si="14"/>
        <v>5000</v>
      </c>
      <c r="P157" s="265">
        <f t="shared" si="15"/>
        <v>5000</v>
      </c>
    </row>
    <row r="158" spans="1:16" ht="13.5">
      <c r="A158" s="174" t="s">
        <v>1248</v>
      </c>
      <c r="B158" s="174"/>
      <c r="C158" s="773"/>
      <c r="D158" s="166"/>
      <c r="E158" s="377"/>
      <c r="F158" s="378"/>
      <c r="G158" s="81"/>
      <c r="H158" s="273"/>
      <c r="I158" s="273" t="s">
        <v>1184</v>
      </c>
      <c r="J158" s="273">
        <v>15000</v>
      </c>
      <c r="K158" s="265">
        <f t="shared" si="13"/>
        <v>15000</v>
      </c>
      <c r="L158" s="379">
        <v>0</v>
      </c>
      <c r="O158" s="265">
        <f t="shared" si="14"/>
        <v>15000</v>
      </c>
      <c r="P158" s="265">
        <f t="shared" si="15"/>
        <v>15000</v>
      </c>
    </row>
    <row r="159" spans="1:16" ht="13.5">
      <c r="A159" s="174" t="s">
        <v>1290</v>
      </c>
      <c r="B159" s="174"/>
      <c r="C159" s="773"/>
      <c r="D159" s="166"/>
      <c r="E159" s="377"/>
      <c r="F159" s="378"/>
      <c r="G159" s="81"/>
      <c r="H159" s="273"/>
      <c r="I159" s="273" t="s">
        <v>1184</v>
      </c>
      <c r="J159" s="273">
        <v>20000</v>
      </c>
      <c r="K159" s="265">
        <f t="shared" si="13"/>
        <v>20000</v>
      </c>
      <c r="L159" s="379">
        <v>0</v>
      </c>
      <c r="O159" s="265">
        <f t="shared" si="14"/>
        <v>20000</v>
      </c>
      <c r="P159" s="265">
        <f t="shared" si="15"/>
        <v>20000</v>
      </c>
    </row>
    <row r="160" spans="1:16" ht="13.5">
      <c r="A160" s="174" t="s">
        <v>1291</v>
      </c>
      <c r="B160" s="174"/>
      <c r="C160" s="773"/>
      <c r="D160" s="166"/>
      <c r="E160" s="377"/>
      <c r="F160" s="378"/>
      <c r="G160" s="81"/>
      <c r="H160" s="273"/>
      <c r="I160" s="273" t="s">
        <v>1184</v>
      </c>
      <c r="J160" s="273">
        <v>30000</v>
      </c>
      <c r="K160" s="265">
        <f t="shared" si="13"/>
        <v>30000</v>
      </c>
      <c r="L160" s="379">
        <v>0</v>
      </c>
      <c r="O160" s="265">
        <f t="shared" si="14"/>
        <v>30000</v>
      </c>
      <c r="P160" s="265">
        <f t="shared" si="15"/>
        <v>30000</v>
      </c>
    </row>
    <row r="161" spans="1:16" ht="13.5">
      <c r="A161" s="163" t="s">
        <v>243</v>
      </c>
      <c r="B161" s="163">
        <v>1310</v>
      </c>
      <c r="C161" s="381">
        <v>459.8</v>
      </c>
      <c r="D161" s="166">
        <v>505.78000000000003</v>
      </c>
      <c r="E161" s="377">
        <v>0.10000000000000003</v>
      </c>
      <c r="F161" s="387">
        <v>584</v>
      </c>
      <c r="G161" s="81">
        <v>619.0400000000001</v>
      </c>
      <c r="H161" s="273">
        <f t="shared" si="10"/>
        <v>656.1824000000001</v>
      </c>
      <c r="I161" s="273">
        <v>695.5533440000002</v>
      </c>
      <c r="J161" s="273">
        <v>737.2865446400001</v>
      </c>
      <c r="K161" s="265">
        <f t="shared" si="13"/>
        <v>737.2865446400001</v>
      </c>
      <c r="L161" s="379">
        <v>0</v>
      </c>
      <c r="O161" s="265">
        <f t="shared" si="14"/>
        <v>737.2865446400001</v>
      </c>
      <c r="P161" s="265">
        <f t="shared" si="15"/>
        <v>737.2865446400001</v>
      </c>
    </row>
    <row r="162" spans="1:16" ht="13.5">
      <c r="A162" s="163" t="s">
        <v>244</v>
      </c>
      <c r="B162" s="163">
        <v>1310</v>
      </c>
      <c r="C162" s="391">
        <v>762.3</v>
      </c>
      <c r="D162" s="168">
        <v>838.53</v>
      </c>
      <c r="E162" s="377">
        <v>0.10000000000000003</v>
      </c>
      <c r="F162" s="387">
        <v>969</v>
      </c>
      <c r="G162" s="81">
        <v>1027.14</v>
      </c>
      <c r="H162" s="273">
        <f t="shared" si="10"/>
        <v>1088.7684000000002</v>
      </c>
      <c r="I162" s="273">
        <v>1154.0945040000001</v>
      </c>
      <c r="J162" s="273">
        <v>1223.3401742400001</v>
      </c>
      <c r="K162" s="265">
        <f t="shared" si="13"/>
        <v>1223.3401742400001</v>
      </c>
      <c r="L162" s="379">
        <v>0</v>
      </c>
      <c r="O162" s="265">
        <f t="shared" si="14"/>
        <v>1223.3401742400001</v>
      </c>
      <c r="P162" s="265">
        <f t="shared" si="15"/>
        <v>1223.3401742400001</v>
      </c>
    </row>
    <row r="163" spans="1:16" ht="13.5">
      <c r="A163" s="163" t="s">
        <v>245</v>
      </c>
      <c r="B163" s="163">
        <v>1310</v>
      </c>
      <c r="C163" s="380">
        <v>388.41</v>
      </c>
      <c r="D163" s="166">
        <v>427.2510000000001</v>
      </c>
      <c r="E163" s="377">
        <v>0.10000000000000016</v>
      </c>
      <c r="F163" s="387">
        <v>494</v>
      </c>
      <c r="G163" s="81">
        <v>523.64</v>
      </c>
      <c r="H163" s="273">
        <f t="shared" si="10"/>
        <v>555.0584</v>
      </c>
      <c r="I163" s="273">
        <v>588.361904</v>
      </c>
      <c r="J163" s="273">
        <v>623.66361824</v>
      </c>
      <c r="K163" s="265">
        <f t="shared" si="13"/>
        <v>623.66361824</v>
      </c>
      <c r="L163" s="379">
        <v>0</v>
      </c>
      <c r="O163" s="265">
        <f t="shared" si="14"/>
        <v>623.66361824</v>
      </c>
      <c r="P163" s="265">
        <f t="shared" si="15"/>
        <v>623.66361824</v>
      </c>
    </row>
    <row r="164" spans="1:16" ht="13.5">
      <c r="A164" s="163" t="s">
        <v>246</v>
      </c>
      <c r="B164" s="163">
        <v>1310</v>
      </c>
      <c r="C164" s="380">
        <v>388.41</v>
      </c>
      <c r="D164" s="166">
        <v>427.2510000000001</v>
      </c>
      <c r="E164" s="377">
        <v>0.10000000000000016</v>
      </c>
      <c r="F164" s="387">
        <v>494</v>
      </c>
      <c r="G164" s="81">
        <v>523.64</v>
      </c>
      <c r="H164" s="273">
        <f t="shared" si="10"/>
        <v>555.0584</v>
      </c>
      <c r="I164" s="273">
        <v>588.361904</v>
      </c>
      <c r="J164" s="273">
        <v>623.66361824</v>
      </c>
      <c r="K164" s="265">
        <f t="shared" si="13"/>
        <v>623.66361824</v>
      </c>
      <c r="L164" s="379">
        <v>0</v>
      </c>
      <c r="O164" s="265">
        <f t="shared" si="14"/>
        <v>623.66361824</v>
      </c>
      <c r="P164" s="265">
        <f t="shared" si="15"/>
        <v>623.66361824</v>
      </c>
    </row>
    <row r="165" spans="1:16" s="46" customFormat="1" ht="27">
      <c r="A165" s="174" t="s">
        <v>1249</v>
      </c>
      <c r="B165" s="174">
        <v>1310</v>
      </c>
      <c r="C165" s="773">
        <v>3352.91</v>
      </c>
      <c r="D165" s="166">
        <v>3688.201</v>
      </c>
      <c r="E165" s="377">
        <v>0.10000000000000006</v>
      </c>
      <c r="F165" s="378">
        <v>4262</v>
      </c>
      <c r="G165" s="81">
        <f>F165*1.06</f>
        <v>4517.72</v>
      </c>
      <c r="H165" s="273">
        <f>G165*1.06</f>
        <v>4788.783200000001</v>
      </c>
      <c r="I165" s="273" t="s">
        <v>1184</v>
      </c>
      <c r="J165" s="273" t="s">
        <v>1250</v>
      </c>
      <c r="K165" s="273" t="s">
        <v>1250</v>
      </c>
      <c r="L165" s="379"/>
      <c r="O165" s="273" t="s">
        <v>1250</v>
      </c>
      <c r="P165" s="273" t="s">
        <v>1250</v>
      </c>
    </row>
    <row r="166" spans="1:16" ht="54">
      <c r="A166" s="163" t="s">
        <v>406</v>
      </c>
      <c r="B166" s="163">
        <v>1310</v>
      </c>
      <c r="C166" s="381">
        <v>1650</v>
      </c>
      <c r="D166" s="166">
        <v>1815.0000000000002</v>
      </c>
      <c r="E166" s="377">
        <v>0.10000000000000014</v>
      </c>
      <c r="F166" s="387">
        <v>2097</v>
      </c>
      <c r="G166" s="81">
        <v>2222.82</v>
      </c>
      <c r="H166" s="273">
        <f>G166*1.06</f>
        <v>2356.1892000000003</v>
      </c>
      <c r="I166" s="273">
        <v>2497.5605520000004</v>
      </c>
      <c r="J166" s="273">
        <v>2647.41418512</v>
      </c>
      <c r="K166" s="265">
        <f>(J166*L166)+J166</f>
        <v>2647.41418512</v>
      </c>
      <c r="L166" s="379">
        <v>0</v>
      </c>
      <c r="O166" s="265">
        <f>(K166*$O$10)+K166</f>
        <v>2647.41418512</v>
      </c>
      <c r="P166" s="265">
        <f>(O166*$P$10)+O166</f>
        <v>2647.41418512</v>
      </c>
    </row>
    <row r="167" spans="1:16" ht="40.5">
      <c r="A167" s="163" t="s">
        <v>407</v>
      </c>
      <c r="B167" s="163">
        <v>1310</v>
      </c>
      <c r="C167" s="381">
        <v>1650</v>
      </c>
      <c r="D167" s="166">
        <v>1815.0000000000002</v>
      </c>
      <c r="E167" s="377">
        <v>0.10000000000000014</v>
      </c>
      <c r="F167" s="387">
        <v>2097</v>
      </c>
      <c r="G167" s="81">
        <v>2222.82</v>
      </c>
      <c r="H167" s="273">
        <f>G167*1.06</f>
        <v>2356.1892000000003</v>
      </c>
      <c r="I167" s="273">
        <v>2497.5605520000004</v>
      </c>
      <c r="J167" s="273">
        <v>2647.41418512</v>
      </c>
      <c r="K167" s="265">
        <f>(J167*L167)+J167</f>
        <v>2647.41418512</v>
      </c>
      <c r="L167" s="379">
        <v>0</v>
      </c>
      <c r="O167" s="265">
        <f>(K167*$O$10)+K167</f>
        <v>2647.41418512</v>
      </c>
      <c r="P167" s="265">
        <f>(O167*$P$10)+O167</f>
        <v>2647.41418512</v>
      </c>
    </row>
    <row r="168" spans="1:15" ht="13.5">
      <c r="A168" s="163" t="s">
        <v>165</v>
      </c>
      <c r="B168" s="163">
        <v>1314</v>
      </c>
      <c r="C168" s="367"/>
      <c r="D168" s="166">
        <v>0</v>
      </c>
      <c r="E168" s="377"/>
      <c r="F168" s="382"/>
      <c r="G168" s="81"/>
      <c r="H168" s="273"/>
      <c r="I168" s="273"/>
      <c r="J168" s="273"/>
      <c r="K168" s="265"/>
      <c r="L168" s="379"/>
      <c r="O168" s="265"/>
    </row>
    <row r="169" spans="1:16" ht="13.5">
      <c r="A169" s="163" t="s">
        <v>399</v>
      </c>
      <c r="B169" s="163">
        <v>1314</v>
      </c>
      <c r="C169" s="163">
        <v>838.53</v>
      </c>
      <c r="D169" s="166">
        <v>922.383</v>
      </c>
      <c r="E169" s="377">
        <v>0.10000000000000007</v>
      </c>
      <c r="F169" s="378">
        <v>1066</v>
      </c>
      <c r="G169" s="81">
        <f aca="true" t="shared" si="16" ref="G169:H171">F169*1.06</f>
        <v>1129.96</v>
      </c>
      <c r="H169" s="273">
        <f t="shared" si="16"/>
        <v>1197.7576000000001</v>
      </c>
      <c r="I169" s="273">
        <v>1269.6230560000001</v>
      </c>
      <c r="J169" s="273">
        <v>1345.8004393600002</v>
      </c>
      <c r="K169" s="265">
        <f>(J169*L169)+J169</f>
        <v>1345.8004393600002</v>
      </c>
      <c r="L169" s="379">
        <v>0</v>
      </c>
      <c r="O169" s="265">
        <f>(K169*$O$10)+K169</f>
        <v>1345.8004393600002</v>
      </c>
      <c r="P169" s="265">
        <f>(O169*$P$10)+O169</f>
        <v>1345.8004393600002</v>
      </c>
    </row>
    <row r="170" spans="1:16" ht="13.5">
      <c r="A170" s="163" t="s">
        <v>400</v>
      </c>
      <c r="B170" s="163">
        <v>1314</v>
      </c>
      <c r="C170" s="381">
        <v>1677.06</v>
      </c>
      <c r="D170" s="166">
        <v>1844.766</v>
      </c>
      <c r="E170" s="377">
        <v>0.10000000000000007</v>
      </c>
      <c r="F170" s="378">
        <v>2132</v>
      </c>
      <c r="G170" s="81">
        <f t="shared" si="16"/>
        <v>2259.92</v>
      </c>
      <c r="H170" s="273">
        <f t="shared" si="16"/>
        <v>2395.5152000000003</v>
      </c>
      <c r="I170" s="273">
        <v>2539.2461120000003</v>
      </c>
      <c r="J170" s="273">
        <v>2691.6008787200003</v>
      </c>
      <c r="K170" s="265">
        <f>(J170*L170)+J170</f>
        <v>2691.6008787200003</v>
      </c>
      <c r="L170" s="379">
        <v>0</v>
      </c>
      <c r="O170" s="265">
        <f>(K170*$O$10)+K170</f>
        <v>2691.6008787200003</v>
      </c>
      <c r="P170" s="265">
        <f>(O170*$P$10)+O170</f>
        <v>2691.6008787200003</v>
      </c>
    </row>
    <row r="171" spans="1:16" ht="13.5">
      <c r="A171" s="163" t="s">
        <v>401</v>
      </c>
      <c r="B171" s="163">
        <v>1314</v>
      </c>
      <c r="C171" s="381">
        <v>2439.36</v>
      </c>
      <c r="D171" s="166">
        <v>2683.2960000000003</v>
      </c>
      <c r="E171" s="377">
        <v>0.10000000000000006</v>
      </c>
      <c r="F171" s="378">
        <v>3101</v>
      </c>
      <c r="G171" s="81">
        <f t="shared" si="16"/>
        <v>3287.06</v>
      </c>
      <c r="H171" s="273">
        <f t="shared" si="16"/>
        <v>3484.2836</v>
      </c>
      <c r="I171" s="273">
        <v>3693.3406160000004</v>
      </c>
      <c r="J171" s="273">
        <v>3914.9410529600004</v>
      </c>
      <c r="K171" s="265">
        <f>(J171*L171)+J171</f>
        <v>3914.9410529600004</v>
      </c>
      <c r="L171" s="379">
        <v>0</v>
      </c>
      <c r="O171" s="265">
        <f>(K171*$O$10)+K171</f>
        <v>3914.9410529600004</v>
      </c>
      <c r="P171" s="265">
        <f>(O171*$P$10)+O171</f>
        <v>3914.9410529600004</v>
      </c>
    </row>
    <row r="173" spans="1:15" ht="13.5">
      <c r="A173" s="163"/>
      <c r="B173" s="163"/>
      <c r="C173" s="163"/>
      <c r="D173" s="166"/>
      <c r="E173" s="377"/>
      <c r="F173" s="382"/>
      <c r="G173" s="81"/>
      <c r="H173" s="273"/>
      <c r="I173" s="273"/>
      <c r="J173" s="273"/>
      <c r="K173" s="265"/>
      <c r="L173" s="379"/>
      <c r="O173" s="265"/>
    </row>
    <row r="174" spans="1:15" ht="13.5">
      <c r="A174" s="160" t="s">
        <v>408</v>
      </c>
      <c r="B174" s="160"/>
      <c r="C174" s="160"/>
      <c r="D174" s="161"/>
      <c r="E174" s="385"/>
      <c r="F174" s="386"/>
      <c r="G174" s="83"/>
      <c r="H174" s="273"/>
      <c r="I174" s="273"/>
      <c r="J174" s="273"/>
      <c r="K174" s="265"/>
      <c r="L174" s="379"/>
      <c r="O174" s="265"/>
    </row>
    <row r="175" spans="1:15" ht="13.5">
      <c r="A175" s="160" t="s">
        <v>219</v>
      </c>
      <c r="B175" s="160"/>
      <c r="C175" s="160"/>
      <c r="D175" s="161"/>
      <c r="E175" s="385"/>
      <c r="F175" s="386"/>
      <c r="G175" s="83"/>
      <c r="H175" s="273"/>
      <c r="I175" s="273"/>
      <c r="J175" s="273"/>
      <c r="K175" s="265"/>
      <c r="L175" s="379"/>
      <c r="O175" s="265"/>
    </row>
    <row r="176" spans="1:16" ht="13.5">
      <c r="A176" s="174" t="s">
        <v>220</v>
      </c>
      <c r="B176" s="174">
        <v>1309</v>
      </c>
      <c r="C176" s="174">
        <v>66.55</v>
      </c>
      <c r="D176" s="166">
        <v>73.205</v>
      </c>
      <c r="E176" s="377">
        <v>0.10000000000000002</v>
      </c>
      <c r="F176" s="387">
        <v>85</v>
      </c>
      <c r="G176" s="81">
        <v>90.10000000000001</v>
      </c>
      <c r="H176" s="273">
        <f t="shared" si="10"/>
        <v>95.50600000000001</v>
      </c>
      <c r="I176" s="273">
        <v>101.23636000000002</v>
      </c>
      <c r="J176" s="273">
        <v>107.31054160000002</v>
      </c>
      <c r="K176" s="265">
        <f t="shared" si="13"/>
        <v>107.31054160000002</v>
      </c>
      <c r="L176" s="379">
        <v>0</v>
      </c>
      <c r="O176" s="265">
        <f>(K176*$O$10)+K176</f>
        <v>107.31054160000002</v>
      </c>
      <c r="P176" s="265">
        <f>(O176*$P$10)+O176</f>
        <v>107.31054160000002</v>
      </c>
    </row>
    <row r="177" spans="1:16" ht="13.5">
      <c r="A177" s="160" t="s">
        <v>221</v>
      </c>
      <c r="B177" s="160">
        <v>1309</v>
      </c>
      <c r="C177" s="174">
        <v>54.45</v>
      </c>
      <c r="D177" s="166">
        <v>59.89500000000001</v>
      </c>
      <c r="E177" s="377">
        <v>0.10000000000000013</v>
      </c>
      <c r="F177" s="387">
        <v>69</v>
      </c>
      <c r="G177" s="81">
        <v>73.14</v>
      </c>
      <c r="H177" s="273">
        <f t="shared" si="10"/>
        <v>77.5284</v>
      </c>
      <c r="I177" s="273">
        <v>82.180104</v>
      </c>
      <c r="J177" s="273">
        <v>87.11091024</v>
      </c>
      <c r="K177" s="265">
        <f t="shared" si="13"/>
        <v>87.11091024</v>
      </c>
      <c r="L177" s="379">
        <v>0</v>
      </c>
      <c r="O177" s="265">
        <f>(K177*$O$10)+K177</f>
        <v>87.11091024</v>
      </c>
      <c r="P177" s="265">
        <f>(O177*$P$10)+O177</f>
        <v>87.11091024</v>
      </c>
    </row>
    <row r="178" spans="1:16" ht="13.5">
      <c r="A178" s="163" t="s">
        <v>222</v>
      </c>
      <c r="B178" s="163">
        <v>1309</v>
      </c>
      <c r="C178" s="381">
        <v>42.35</v>
      </c>
      <c r="D178" s="166">
        <v>46.58500000000001</v>
      </c>
      <c r="E178" s="377">
        <v>0.10000000000000014</v>
      </c>
      <c r="F178" s="387">
        <v>54</v>
      </c>
      <c r="G178" s="81">
        <v>57.24</v>
      </c>
      <c r="H178" s="273">
        <f t="shared" si="10"/>
        <v>60.674400000000006</v>
      </c>
      <c r="I178" s="273">
        <v>64.314864</v>
      </c>
      <c r="J178" s="273">
        <v>68.17375584</v>
      </c>
      <c r="K178" s="265">
        <f t="shared" si="13"/>
        <v>68.17375584</v>
      </c>
      <c r="L178" s="379">
        <v>0</v>
      </c>
      <c r="O178" s="265">
        <f>(K178*$O$10)+K178</f>
        <v>68.17375584</v>
      </c>
      <c r="P178" s="265">
        <f>(O178*$P$10)+O178</f>
        <v>68.17375584</v>
      </c>
    </row>
    <row r="179" spans="1:16" ht="13.5">
      <c r="A179" s="163" t="s">
        <v>223</v>
      </c>
      <c r="B179" s="163">
        <v>1309</v>
      </c>
      <c r="C179" s="381">
        <v>11</v>
      </c>
      <c r="D179" s="166">
        <v>12.100000000000001</v>
      </c>
      <c r="E179" s="377">
        <v>0.10000000000000013</v>
      </c>
      <c r="F179" s="387">
        <v>14</v>
      </c>
      <c r="G179" s="81">
        <v>14.84</v>
      </c>
      <c r="H179" s="273">
        <f t="shared" si="10"/>
        <v>15.730400000000001</v>
      </c>
      <c r="I179" s="273">
        <v>16.674224000000002</v>
      </c>
      <c r="J179" s="273">
        <v>17.674677440000004</v>
      </c>
      <c r="K179" s="265">
        <f t="shared" si="13"/>
        <v>17.674677440000004</v>
      </c>
      <c r="L179" s="379">
        <v>0</v>
      </c>
      <c r="O179" s="265">
        <f>(K179*$O$10)+K179</f>
        <v>17.674677440000004</v>
      </c>
      <c r="P179" s="265">
        <f>(O179*$P$10)+O179</f>
        <v>17.674677440000004</v>
      </c>
    </row>
    <row r="180" spans="1:16" ht="13.5">
      <c r="A180" s="163" t="s">
        <v>224</v>
      </c>
      <c r="B180" s="163">
        <v>1309</v>
      </c>
      <c r="C180" s="381">
        <v>5.5</v>
      </c>
      <c r="D180" s="166">
        <v>6.050000000000001</v>
      </c>
      <c r="E180" s="377">
        <v>0.10000000000000013</v>
      </c>
      <c r="F180" s="387">
        <v>7</v>
      </c>
      <c r="G180" s="81">
        <v>7.42</v>
      </c>
      <c r="H180" s="273">
        <f t="shared" si="10"/>
        <v>7.865200000000001</v>
      </c>
      <c r="I180" s="273">
        <v>8.337112000000001</v>
      </c>
      <c r="J180" s="273">
        <v>8.837338720000002</v>
      </c>
      <c r="K180" s="265">
        <f t="shared" si="13"/>
        <v>8.837338720000002</v>
      </c>
      <c r="L180" s="379">
        <v>0</v>
      </c>
      <c r="O180" s="265">
        <f>(K180*$O$10)+K180</f>
        <v>8.837338720000002</v>
      </c>
      <c r="P180" s="265">
        <f>(O180*$P$10)+O180</f>
        <v>8.837338720000002</v>
      </c>
    </row>
    <row r="181" spans="1:15" ht="13.5">
      <c r="A181" s="163"/>
      <c r="B181" s="163"/>
      <c r="C181" s="381"/>
      <c r="D181" s="166"/>
      <c r="E181" s="377"/>
      <c r="F181" s="403"/>
      <c r="G181" s="81"/>
      <c r="H181" s="273"/>
      <c r="I181" s="273"/>
      <c r="J181" s="273"/>
      <c r="K181" s="265"/>
      <c r="L181" s="379"/>
      <c r="O181" s="265"/>
    </row>
    <row r="182" spans="1:15" ht="13.5">
      <c r="A182" s="160" t="s">
        <v>409</v>
      </c>
      <c r="B182" s="160"/>
      <c r="C182" s="404"/>
      <c r="D182" s="161"/>
      <c r="E182" s="385"/>
      <c r="F182" s="405"/>
      <c r="G182" s="83"/>
      <c r="H182" s="273"/>
      <c r="I182" s="273"/>
      <c r="J182" s="273"/>
      <c r="K182" s="265"/>
      <c r="L182" s="379"/>
      <c r="O182" s="265"/>
    </row>
    <row r="183" spans="1:15" ht="13.5">
      <c r="A183" s="160" t="s">
        <v>410</v>
      </c>
      <c r="B183" s="160"/>
      <c r="C183" s="404"/>
      <c r="D183" s="161"/>
      <c r="E183" s="385"/>
      <c r="F183" s="405"/>
      <c r="G183" s="83"/>
      <c r="H183" s="273"/>
      <c r="I183" s="273"/>
      <c r="J183" s="273"/>
      <c r="K183" s="265"/>
      <c r="L183" s="379"/>
      <c r="O183" s="265"/>
    </row>
    <row r="184" spans="1:16" ht="13.5">
      <c r="A184" s="164" t="s">
        <v>411</v>
      </c>
      <c r="B184" s="163">
        <v>1309</v>
      </c>
      <c r="C184" s="381">
        <v>193.6</v>
      </c>
      <c r="D184" s="166">
        <v>212.96</v>
      </c>
      <c r="E184" s="377">
        <v>0.10000000000000007</v>
      </c>
      <c r="F184" s="387">
        <v>246</v>
      </c>
      <c r="G184" s="81">
        <v>260.76</v>
      </c>
      <c r="H184" s="273">
        <f aca="true" t="shared" si="17" ref="H184:H200">G184*1.06</f>
        <v>276.4056</v>
      </c>
      <c r="I184" s="273">
        <v>292.989936</v>
      </c>
      <c r="J184" s="273">
        <v>310.56933216</v>
      </c>
      <c r="K184" s="265">
        <f t="shared" si="13"/>
        <v>329.2034920896</v>
      </c>
      <c r="L184" s="379">
        <f>$L$9</f>
        <v>0.06</v>
      </c>
      <c r="O184" s="265">
        <f>(K184*$O$10)+K184</f>
        <v>329.2034920896</v>
      </c>
      <c r="P184" s="265">
        <f>(O184*$P$10)+O184</f>
        <v>329.2034920896</v>
      </c>
    </row>
    <row r="185" spans="1:16" ht="13.5">
      <c r="A185" s="164" t="s">
        <v>412</v>
      </c>
      <c r="B185" s="163">
        <v>1309</v>
      </c>
      <c r="C185" s="381">
        <v>96.8</v>
      </c>
      <c r="D185" s="166">
        <v>106.48</v>
      </c>
      <c r="E185" s="377">
        <v>0.10000000000000007</v>
      </c>
      <c r="F185" s="387">
        <v>123</v>
      </c>
      <c r="G185" s="81">
        <v>130.38</v>
      </c>
      <c r="H185" s="273">
        <f t="shared" si="17"/>
        <v>138.2028</v>
      </c>
      <c r="I185" s="273">
        <v>146.494968</v>
      </c>
      <c r="J185" s="273">
        <v>155.28466608</v>
      </c>
      <c r="K185" s="265">
        <f t="shared" si="13"/>
        <v>164.6017460448</v>
      </c>
      <c r="L185" s="379">
        <f>$L$9</f>
        <v>0.06</v>
      </c>
      <c r="O185" s="265">
        <f>(K185*$O$10)+K185</f>
        <v>164.6017460448</v>
      </c>
      <c r="P185" s="265">
        <f>(O185*$P$10)+O185</f>
        <v>164.6017460448</v>
      </c>
    </row>
    <row r="186" spans="1:16" ht="13.5">
      <c r="A186" s="163" t="s">
        <v>413</v>
      </c>
      <c r="B186" s="163">
        <v>1309</v>
      </c>
      <c r="C186" s="381">
        <v>48.4</v>
      </c>
      <c r="D186" s="166">
        <v>53.24</v>
      </c>
      <c r="E186" s="377">
        <v>0.10000000000000007</v>
      </c>
      <c r="F186" s="387">
        <v>62</v>
      </c>
      <c r="G186" s="81">
        <v>65.72</v>
      </c>
      <c r="H186" s="273">
        <f t="shared" si="17"/>
        <v>69.6632</v>
      </c>
      <c r="I186" s="273">
        <v>73.84299200000001</v>
      </c>
      <c r="J186" s="273">
        <v>78.27357152</v>
      </c>
      <c r="K186" s="265">
        <f t="shared" si="13"/>
        <v>82.9699858112</v>
      </c>
      <c r="L186" s="379">
        <f>$L$9</f>
        <v>0.06</v>
      </c>
      <c r="O186" s="265">
        <f>(K186*$O$10)+K186</f>
        <v>82.9699858112</v>
      </c>
      <c r="P186" s="265">
        <f>(O186*$P$10)+O186</f>
        <v>82.9699858112</v>
      </c>
    </row>
    <row r="187" spans="1:16" ht="13.5">
      <c r="A187" s="163" t="s">
        <v>414</v>
      </c>
      <c r="B187" s="163">
        <v>1309</v>
      </c>
      <c r="C187" s="381">
        <v>24.2</v>
      </c>
      <c r="D187" s="166">
        <v>26.62</v>
      </c>
      <c r="E187" s="377">
        <v>0.10000000000000007</v>
      </c>
      <c r="F187" s="387">
        <v>31</v>
      </c>
      <c r="G187" s="81">
        <v>32.86</v>
      </c>
      <c r="H187" s="273">
        <f t="shared" si="17"/>
        <v>34.8316</v>
      </c>
      <c r="I187" s="273">
        <v>36.921496000000005</v>
      </c>
      <c r="J187" s="273">
        <v>39.13678576</v>
      </c>
      <c r="K187" s="265">
        <f t="shared" si="13"/>
        <v>41.4849929056</v>
      </c>
      <c r="L187" s="379">
        <f>$L$9</f>
        <v>0.06</v>
      </c>
      <c r="O187" s="265">
        <f>(K187*$O$10)+K187</f>
        <v>41.4849929056</v>
      </c>
      <c r="P187" s="265">
        <f>(O187*$P$10)+O187</f>
        <v>41.4849929056</v>
      </c>
    </row>
    <row r="188" spans="1:16" ht="13.5">
      <c r="A188" s="163" t="s">
        <v>415</v>
      </c>
      <c r="B188" s="163">
        <v>1309</v>
      </c>
      <c r="C188" s="381">
        <v>12.1</v>
      </c>
      <c r="D188" s="166">
        <v>13.31</v>
      </c>
      <c r="E188" s="377">
        <v>0.10000000000000007</v>
      </c>
      <c r="F188" s="387">
        <v>15</v>
      </c>
      <c r="G188" s="81">
        <v>15.9</v>
      </c>
      <c r="H188" s="273">
        <f t="shared" si="17"/>
        <v>16.854000000000003</v>
      </c>
      <c r="I188" s="273">
        <v>17.865240000000004</v>
      </c>
      <c r="J188" s="273">
        <v>18.937154400000004</v>
      </c>
      <c r="K188" s="265">
        <f t="shared" si="13"/>
        <v>20.073383664000005</v>
      </c>
      <c r="L188" s="379">
        <f>$L$9</f>
        <v>0.06</v>
      </c>
      <c r="O188" s="265">
        <f>(K188*$O$10)+K188</f>
        <v>20.073383664000005</v>
      </c>
      <c r="P188" s="265">
        <f>(O188*$P$10)+O188</f>
        <v>20.073383664000005</v>
      </c>
    </row>
    <row r="189" spans="1:15" ht="13.5">
      <c r="A189" s="163" t="s">
        <v>416</v>
      </c>
      <c r="B189" s="163"/>
      <c r="C189" s="381"/>
      <c r="D189" s="166"/>
      <c r="E189" s="377"/>
      <c r="F189" s="382"/>
      <c r="G189" s="81"/>
      <c r="H189" s="273"/>
      <c r="I189" s="273"/>
      <c r="J189" s="273"/>
      <c r="K189" s="265"/>
      <c r="L189" s="379"/>
      <c r="O189" s="265"/>
    </row>
    <row r="190" spans="1:16" ht="13.5">
      <c r="A190" s="163" t="s">
        <v>411</v>
      </c>
      <c r="B190" s="163">
        <v>1309</v>
      </c>
      <c r="C190" s="381">
        <v>544.5</v>
      </c>
      <c r="D190" s="166">
        <v>598.95</v>
      </c>
      <c r="E190" s="377">
        <v>0.10000000000000009</v>
      </c>
      <c r="F190" s="387">
        <v>692</v>
      </c>
      <c r="G190" s="81">
        <v>733.52</v>
      </c>
      <c r="H190" s="273">
        <f t="shared" si="17"/>
        <v>777.5312</v>
      </c>
      <c r="I190" s="273">
        <v>824.183072</v>
      </c>
      <c r="J190" s="273">
        <v>873.63405632</v>
      </c>
      <c r="K190" s="265">
        <f t="shared" si="13"/>
        <v>926.0520996992</v>
      </c>
      <c r="L190" s="379">
        <f>$L$9</f>
        <v>0.06</v>
      </c>
      <c r="O190" s="265">
        <f>(K190*$O$10)+K190</f>
        <v>926.0520996992</v>
      </c>
      <c r="P190" s="265">
        <f>(O190*$P$10)+O190</f>
        <v>926.0520996992</v>
      </c>
    </row>
    <row r="191" spans="1:16" ht="13.5">
      <c r="A191" s="163" t="s">
        <v>412</v>
      </c>
      <c r="B191" s="163">
        <v>1309</v>
      </c>
      <c r="C191" s="381">
        <v>278.3</v>
      </c>
      <c r="D191" s="166">
        <v>306.13000000000005</v>
      </c>
      <c r="E191" s="377">
        <v>0.10000000000000014</v>
      </c>
      <c r="F191" s="387">
        <v>354</v>
      </c>
      <c r="G191" s="81">
        <v>375.24</v>
      </c>
      <c r="H191" s="273">
        <f t="shared" si="17"/>
        <v>397.75440000000003</v>
      </c>
      <c r="I191" s="273">
        <v>421.61966400000006</v>
      </c>
      <c r="J191" s="273">
        <v>446.91684384000007</v>
      </c>
      <c r="K191" s="265">
        <f t="shared" si="13"/>
        <v>473.7318544704001</v>
      </c>
      <c r="L191" s="379">
        <f>$L$9</f>
        <v>0.06</v>
      </c>
      <c r="O191" s="265">
        <f>(K191*$O$10)+K191</f>
        <v>473.7318544704001</v>
      </c>
      <c r="P191" s="265">
        <f>(O191*$P$10)+O191</f>
        <v>473.7318544704001</v>
      </c>
    </row>
    <row r="192" spans="1:16" ht="13.5">
      <c r="A192" s="163" t="s">
        <v>413</v>
      </c>
      <c r="B192" s="163">
        <v>1309</v>
      </c>
      <c r="C192" s="381">
        <v>145.2</v>
      </c>
      <c r="D192" s="166">
        <v>159.72</v>
      </c>
      <c r="E192" s="377">
        <v>0.10000000000000007</v>
      </c>
      <c r="F192" s="387">
        <v>185</v>
      </c>
      <c r="G192" s="81">
        <v>196</v>
      </c>
      <c r="H192" s="273">
        <f t="shared" si="17"/>
        <v>207.76000000000002</v>
      </c>
      <c r="I192" s="273">
        <v>220.22560000000001</v>
      </c>
      <c r="J192" s="273">
        <v>233.43913600000002</v>
      </c>
      <c r="K192" s="265">
        <f t="shared" si="13"/>
        <v>247.44548416</v>
      </c>
      <c r="L192" s="379">
        <f>$L$9</f>
        <v>0.06</v>
      </c>
      <c r="O192" s="265">
        <f>(K192*$O$10)+K192</f>
        <v>247.44548416</v>
      </c>
      <c r="P192" s="265">
        <f>(O192*$P$10)+O192</f>
        <v>247.44548416</v>
      </c>
    </row>
    <row r="193" spans="1:16" ht="13.5">
      <c r="A193" s="163" t="s">
        <v>414</v>
      </c>
      <c r="B193" s="163">
        <v>1309</v>
      </c>
      <c r="C193" s="381">
        <v>66</v>
      </c>
      <c r="D193" s="166">
        <v>72.60000000000001</v>
      </c>
      <c r="E193" s="377">
        <v>0.10000000000000013</v>
      </c>
      <c r="F193" s="387">
        <v>84</v>
      </c>
      <c r="G193" s="81">
        <v>89.04</v>
      </c>
      <c r="H193" s="273">
        <f t="shared" si="17"/>
        <v>94.38240000000002</v>
      </c>
      <c r="I193" s="273">
        <v>100.04534400000001</v>
      </c>
      <c r="J193" s="273">
        <v>106.04806464000002</v>
      </c>
      <c r="K193" s="265">
        <f t="shared" si="13"/>
        <v>112.41094851840002</v>
      </c>
      <c r="L193" s="379">
        <f>$L$9</f>
        <v>0.06</v>
      </c>
      <c r="O193" s="265">
        <f>(K193*$O$10)+K193</f>
        <v>112.41094851840002</v>
      </c>
      <c r="P193" s="265">
        <f>(O193*$P$10)+O193</f>
        <v>112.41094851840002</v>
      </c>
    </row>
    <row r="194" spans="1:16" ht="13.5">
      <c r="A194" s="163" t="s">
        <v>415</v>
      </c>
      <c r="B194" s="163">
        <v>1309</v>
      </c>
      <c r="C194" s="381">
        <v>33</v>
      </c>
      <c r="D194" s="166">
        <v>36.300000000000004</v>
      </c>
      <c r="E194" s="377">
        <v>0.10000000000000013</v>
      </c>
      <c r="F194" s="387">
        <v>42</v>
      </c>
      <c r="G194" s="81">
        <v>44.52</v>
      </c>
      <c r="H194" s="273">
        <f t="shared" si="17"/>
        <v>47.19120000000001</v>
      </c>
      <c r="I194" s="273">
        <v>50.02267200000001</v>
      </c>
      <c r="J194" s="273">
        <v>53.02403232000001</v>
      </c>
      <c r="K194" s="265">
        <f t="shared" si="13"/>
        <v>56.20547425920001</v>
      </c>
      <c r="L194" s="379">
        <f>$L$9</f>
        <v>0.06</v>
      </c>
      <c r="O194" s="265">
        <f>(K194*$O$10)+K194</f>
        <v>56.20547425920001</v>
      </c>
      <c r="P194" s="265">
        <f>(O194*$P$10)+O194</f>
        <v>56.20547425920001</v>
      </c>
    </row>
    <row r="195" spans="1:15" ht="13.5">
      <c r="A195" s="163" t="s">
        <v>417</v>
      </c>
      <c r="B195" s="163"/>
      <c r="C195" s="381"/>
      <c r="D195" s="166"/>
      <c r="E195" s="377"/>
      <c r="F195" s="403"/>
      <c r="G195" s="81"/>
      <c r="H195" s="273"/>
      <c r="I195" s="273"/>
      <c r="J195" s="273"/>
      <c r="K195" s="265"/>
      <c r="L195" s="379"/>
      <c r="O195" s="265"/>
    </row>
    <row r="196" spans="1:16" ht="13.5">
      <c r="A196" s="163" t="s">
        <v>411</v>
      </c>
      <c r="B196" s="163">
        <v>1309</v>
      </c>
      <c r="C196" s="381">
        <v>187</v>
      </c>
      <c r="D196" s="166">
        <v>205.70000000000002</v>
      </c>
      <c r="E196" s="377">
        <v>0.10000000000000009</v>
      </c>
      <c r="F196" s="387">
        <v>238</v>
      </c>
      <c r="G196" s="81">
        <v>252.28</v>
      </c>
      <c r="H196" s="273">
        <f t="shared" si="17"/>
        <v>267.4168</v>
      </c>
      <c r="I196" s="273">
        <v>283.461808</v>
      </c>
      <c r="J196" s="273">
        <v>300.46951648000004</v>
      </c>
      <c r="K196" s="265">
        <f t="shared" si="13"/>
        <v>318.49768746880005</v>
      </c>
      <c r="L196" s="379">
        <f aca="true" t="shared" si="18" ref="L196:L202">$L$9</f>
        <v>0.06</v>
      </c>
      <c r="O196" s="265">
        <f aca="true" t="shared" si="19" ref="O196:O202">(K196*$O$10)+K196</f>
        <v>318.49768746880005</v>
      </c>
      <c r="P196" s="265">
        <f aca="true" t="shared" si="20" ref="P196:P202">(O196*$P$10)+O196</f>
        <v>318.49768746880005</v>
      </c>
    </row>
    <row r="197" spans="1:16" ht="13.5">
      <c r="A197" s="163" t="s">
        <v>412</v>
      </c>
      <c r="B197" s="163">
        <v>1309</v>
      </c>
      <c r="C197" s="381">
        <v>99</v>
      </c>
      <c r="D197" s="166">
        <v>108.9</v>
      </c>
      <c r="E197" s="377">
        <v>0.10000000000000006</v>
      </c>
      <c r="F197" s="387">
        <v>126</v>
      </c>
      <c r="G197" s="81">
        <v>133.56</v>
      </c>
      <c r="H197" s="273">
        <f t="shared" si="17"/>
        <v>141.5736</v>
      </c>
      <c r="I197" s="273">
        <v>150.068016</v>
      </c>
      <c r="J197" s="273">
        <v>159.07209696</v>
      </c>
      <c r="K197" s="265">
        <f t="shared" si="13"/>
        <v>168.6164227776</v>
      </c>
      <c r="L197" s="379">
        <f t="shared" si="18"/>
        <v>0.06</v>
      </c>
      <c r="O197" s="265">
        <f t="shared" si="19"/>
        <v>168.6164227776</v>
      </c>
      <c r="P197" s="265">
        <f t="shared" si="20"/>
        <v>168.6164227776</v>
      </c>
    </row>
    <row r="198" spans="1:16" ht="13.5">
      <c r="A198" s="163" t="s">
        <v>413</v>
      </c>
      <c r="B198" s="163">
        <v>1309</v>
      </c>
      <c r="C198" s="381">
        <v>55</v>
      </c>
      <c r="D198" s="166">
        <v>60.50000000000001</v>
      </c>
      <c r="E198" s="377">
        <v>0.10000000000000013</v>
      </c>
      <c r="F198" s="387">
        <v>70</v>
      </c>
      <c r="G198" s="81">
        <v>74</v>
      </c>
      <c r="H198" s="273">
        <f t="shared" si="17"/>
        <v>78.44</v>
      </c>
      <c r="I198" s="273">
        <v>83.1464</v>
      </c>
      <c r="J198" s="273">
        <v>88.135184</v>
      </c>
      <c r="K198" s="265">
        <f t="shared" si="13"/>
        <v>93.42329504</v>
      </c>
      <c r="L198" s="379">
        <f t="shared" si="18"/>
        <v>0.06</v>
      </c>
      <c r="O198" s="265">
        <f t="shared" si="19"/>
        <v>93.42329504</v>
      </c>
      <c r="P198" s="265">
        <f t="shared" si="20"/>
        <v>93.42329504</v>
      </c>
    </row>
    <row r="199" spans="1:16" ht="13.5">
      <c r="A199" s="163" t="s">
        <v>414</v>
      </c>
      <c r="B199" s="163">
        <v>1309</v>
      </c>
      <c r="C199" s="381">
        <v>22</v>
      </c>
      <c r="D199" s="166">
        <v>24.200000000000003</v>
      </c>
      <c r="E199" s="377">
        <v>0.10000000000000013</v>
      </c>
      <c r="F199" s="387">
        <v>28</v>
      </c>
      <c r="G199" s="81">
        <v>29.68</v>
      </c>
      <c r="H199" s="273">
        <f t="shared" si="17"/>
        <v>31.460800000000003</v>
      </c>
      <c r="I199" s="273">
        <v>33.348448000000005</v>
      </c>
      <c r="J199" s="273">
        <v>35.34935488000001</v>
      </c>
      <c r="K199" s="265">
        <f t="shared" si="13"/>
        <v>37.47031617280001</v>
      </c>
      <c r="L199" s="379">
        <f t="shared" si="18"/>
        <v>0.06</v>
      </c>
      <c r="O199" s="265">
        <f t="shared" si="19"/>
        <v>37.47031617280001</v>
      </c>
      <c r="P199" s="265">
        <f t="shared" si="20"/>
        <v>37.47031617280001</v>
      </c>
    </row>
    <row r="200" spans="1:16" ht="13.5">
      <c r="A200" s="163" t="s">
        <v>415</v>
      </c>
      <c r="B200" s="163">
        <v>1309</v>
      </c>
      <c r="C200" s="381">
        <v>11</v>
      </c>
      <c r="D200" s="166">
        <v>12.100000000000001</v>
      </c>
      <c r="E200" s="377">
        <v>0.10000000000000013</v>
      </c>
      <c r="F200" s="387">
        <v>14</v>
      </c>
      <c r="G200" s="81">
        <v>14.84</v>
      </c>
      <c r="H200" s="273">
        <f t="shared" si="17"/>
        <v>15.730400000000001</v>
      </c>
      <c r="I200" s="273">
        <v>16.674224000000002</v>
      </c>
      <c r="J200" s="273">
        <v>17.674677440000004</v>
      </c>
      <c r="K200" s="265">
        <f t="shared" si="13"/>
        <v>18.735158086400006</v>
      </c>
      <c r="L200" s="379">
        <f t="shared" si="18"/>
        <v>0.06</v>
      </c>
      <c r="O200" s="265">
        <f t="shared" si="19"/>
        <v>18.735158086400006</v>
      </c>
      <c r="P200" s="265">
        <f t="shared" si="20"/>
        <v>18.735158086400006</v>
      </c>
    </row>
    <row r="201" spans="1:16" s="157" customFormat="1" ht="13.5">
      <c r="A201" s="242" t="s">
        <v>247</v>
      </c>
      <c r="B201" s="242">
        <v>1310</v>
      </c>
      <c r="C201" s="565">
        <v>78.65</v>
      </c>
      <c r="D201" s="173">
        <v>86.51500000000001</v>
      </c>
      <c r="E201" s="389">
        <v>0.1000000000000001</v>
      </c>
      <c r="F201" s="566">
        <v>100</v>
      </c>
      <c r="G201" s="81">
        <v>106</v>
      </c>
      <c r="H201" s="273">
        <f>G201*1.06</f>
        <v>112.36</v>
      </c>
      <c r="I201" s="273">
        <v>119.1016</v>
      </c>
      <c r="J201" s="273">
        <v>126.247696</v>
      </c>
      <c r="K201" s="265">
        <f>(J201*L201)+J201</f>
        <v>133.82255776</v>
      </c>
      <c r="L201" s="567">
        <f t="shared" si="18"/>
        <v>0.06</v>
      </c>
      <c r="O201" s="265">
        <f t="shared" si="19"/>
        <v>133.82255776</v>
      </c>
      <c r="P201" s="265">
        <f t="shared" si="20"/>
        <v>133.82255776</v>
      </c>
    </row>
    <row r="202" spans="1:16" s="157" customFormat="1" ht="13.5">
      <c r="A202" s="242" t="s">
        <v>248</v>
      </c>
      <c r="B202" s="242">
        <v>1310</v>
      </c>
      <c r="C202" s="565">
        <v>71.39</v>
      </c>
      <c r="D202" s="173">
        <v>78.52900000000001</v>
      </c>
      <c r="E202" s="389">
        <v>0.10000000000000014</v>
      </c>
      <c r="F202" s="566">
        <v>91</v>
      </c>
      <c r="G202" s="81">
        <v>96.46000000000001</v>
      </c>
      <c r="H202" s="273">
        <f>G202*1.06</f>
        <v>102.24760000000002</v>
      </c>
      <c r="I202" s="273">
        <v>108.38245600000002</v>
      </c>
      <c r="J202" s="273">
        <v>114.88540336000003</v>
      </c>
      <c r="K202" s="265">
        <f>(J202*L202)+J202</f>
        <v>121.77852756160003</v>
      </c>
      <c r="L202" s="567">
        <f t="shared" si="18"/>
        <v>0.06</v>
      </c>
      <c r="O202" s="265">
        <f t="shared" si="19"/>
        <v>121.77852756160003</v>
      </c>
      <c r="P202" s="265">
        <f t="shared" si="20"/>
        <v>121.77852756160003</v>
      </c>
    </row>
    <row r="203" spans="1:16" s="157" customFormat="1" ht="13.5">
      <c r="A203" s="242"/>
      <c r="B203" s="242"/>
      <c r="C203" s="565"/>
      <c r="D203" s="173"/>
      <c r="E203" s="389"/>
      <c r="F203" s="566"/>
      <c r="G203" s="81"/>
      <c r="H203" s="273"/>
      <c r="I203" s="273"/>
      <c r="J203" s="273"/>
      <c r="K203" s="265"/>
      <c r="L203" s="567"/>
      <c r="O203" s="265"/>
      <c r="P203" s="265"/>
    </row>
    <row r="204" spans="1:12" ht="27">
      <c r="A204" s="704" t="s">
        <v>1170</v>
      </c>
      <c r="B204" s="174"/>
      <c r="C204" s="174"/>
      <c r="D204" s="166"/>
      <c r="E204" s="174"/>
      <c r="F204" s="560"/>
      <c r="G204" s="560"/>
      <c r="H204" s="560"/>
      <c r="I204" s="407"/>
      <c r="J204" s="407"/>
      <c r="K204" s="407"/>
      <c r="L204" s="174"/>
    </row>
    <row r="205" spans="1:12" ht="13.5">
      <c r="A205" s="331"/>
      <c r="B205" s="174"/>
      <c r="C205" s="174"/>
      <c r="D205" s="166"/>
      <c r="E205" s="174"/>
      <c r="F205" s="560"/>
      <c r="G205" s="560"/>
      <c r="H205" s="560"/>
      <c r="I205" s="407"/>
      <c r="J205" s="407"/>
      <c r="K205" s="407"/>
      <c r="L205" s="174"/>
    </row>
    <row r="209" spans="1:12" s="558" customFormat="1" ht="13.5">
      <c r="A209" s="156"/>
      <c r="B209" s="156"/>
      <c r="C209" s="156"/>
      <c r="D209" s="47"/>
      <c r="E209" s="156"/>
      <c r="F209" s="562"/>
      <c r="G209" s="562"/>
      <c r="H209" s="562"/>
      <c r="I209" s="151"/>
      <c r="J209" s="151"/>
      <c r="K209" s="151"/>
      <c r="L209" s="156"/>
    </row>
    <row r="210" spans="1:12" s="558" customFormat="1" ht="13.5">
      <c r="A210" s="156"/>
      <c r="B210" s="156"/>
      <c r="C210" s="156"/>
      <c r="D210" s="47"/>
      <c r="E210" s="156"/>
      <c r="F210" s="562"/>
      <c r="G210" s="562"/>
      <c r="H210" s="562"/>
      <c r="I210" s="151"/>
      <c r="J210" s="151"/>
      <c r="K210" s="151"/>
      <c r="L210" s="156"/>
    </row>
    <row r="215" ht="13.5">
      <c r="P215" s="561"/>
    </row>
    <row r="217" spans="1:12" s="558" customFormat="1" ht="13.5">
      <c r="A217" s="156"/>
      <c r="B217" s="156"/>
      <c r="C217" s="156"/>
      <c r="D217" s="47"/>
      <c r="E217" s="156"/>
      <c r="F217" s="562"/>
      <c r="G217" s="562"/>
      <c r="H217" s="562"/>
      <c r="I217" s="151"/>
      <c r="J217" s="151"/>
      <c r="K217" s="151"/>
      <c r="L217" s="156"/>
    </row>
    <row r="218" spans="1:12" s="558" customFormat="1" ht="13.5">
      <c r="A218" s="156"/>
      <c r="B218" s="156"/>
      <c r="C218" s="156"/>
      <c r="D218" s="47"/>
      <c r="E218" s="156"/>
      <c r="F218" s="562"/>
      <c r="G218" s="562"/>
      <c r="H218" s="562"/>
      <c r="I218" s="151"/>
      <c r="J218" s="151"/>
      <c r="K218" s="151"/>
      <c r="L218" s="156"/>
    </row>
  </sheetData>
  <sheetProtection/>
  <mergeCells count="1">
    <mergeCell ref="I1:K1"/>
  </mergeCells>
  <printOptions gridLines="1"/>
  <pageMargins left="0.7086614173228347" right="0.7086614173228347" top="0.7480314960629921" bottom="0.7480314960629921" header="0.31496062992125984" footer="0.31496062992125984"/>
  <pageSetup horizontalDpi="600" verticalDpi="600" orientation="landscape" paperSize="9" scale="60" r:id="rId1"/>
  <rowBreaks count="3" manualBreakCount="3">
    <brk id="38" max="15" man="1"/>
    <brk id="140" max="15" man="1"/>
    <brk id="181" max="15" man="1"/>
  </rowBreaks>
</worksheet>
</file>

<file path=xl/worksheets/sheet11.xml><?xml version="1.0" encoding="utf-8"?>
<worksheet xmlns="http://schemas.openxmlformats.org/spreadsheetml/2006/main" xmlns:r="http://schemas.openxmlformats.org/officeDocument/2006/relationships">
  <dimension ref="A1:N78"/>
  <sheetViews>
    <sheetView workbookViewId="0" topLeftCell="A1">
      <selection activeCell="N8" sqref="N8"/>
    </sheetView>
  </sheetViews>
  <sheetFormatPr defaultColWidth="9.140625" defaultRowHeight="12.75"/>
  <cols>
    <col min="1" max="1" width="94.00390625" style="155" customWidth="1"/>
    <col min="2" max="3" width="0.13671875" style="155" hidden="1" customWidth="1"/>
    <col min="4" max="5" width="9.140625" style="155" hidden="1" customWidth="1"/>
    <col min="6" max="6" width="0.13671875" style="155" hidden="1" customWidth="1"/>
    <col min="7" max="7" width="9.140625" style="155" hidden="1" customWidth="1"/>
    <col min="8" max="8" width="0.42578125" style="155" hidden="1" customWidth="1"/>
    <col min="9" max="9" width="16.421875" style="155" hidden="1" customWidth="1"/>
    <col min="10" max="10" width="15.421875" style="155" customWidth="1"/>
    <col min="11" max="11" width="14.8515625" style="155" customWidth="1"/>
    <col min="12" max="12" width="10.8515625" style="155" customWidth="1"/>
    <col min="13" max="13" width="13.57421875" style="511" customWidth="1"/>
    <col min="14" max="14" width="14.57421875" style="155" customWidth="1"/>
    <col min="15" max="16384" width="9.140625" style="155" customWidth="1"/>
  </cols>
  <sheetData>
    <row r="1" spans="1:11" ht="17.25">
      <c r="A1" s="162" t="s">
        <v>20</v>
      </c>
      <c r="B1" s="162"/>
      <c r="C1" s="789"/>
      <c r="D1" s="171" t="s">
        <v>555</v>
      </c>
      <c r="E1" s="789"/>
      <c r="F1" s="789"/>
      <c r="G1" s="790"/>
      <c r="H1" s="789"/>
      <c r="I1" s="791" t="s">
        <v>1083</v>
      </c>
      <c r="J1" s="791"/>
      <c r="K1" s="791"/>
    </row>
    <row r="2" spans="1:11" ht="13.5">
      <c r="A2" s="789"/>
      <c r="B2" s="789"/>
      <c r="C2" s="789"/>
      <c r="D2" s="166"/>
      <c r="E2" s="789"/>
      <c r="F2" s="789"/>
      <c r="G2" s="790"/>
      <c r="H2" s="789"/>
      <c r="I2" s="792"/>
      <c r="J2" s="792"/>
      <c r="K2" s="792"/>
    </row>
    <row r="3" spans="1:11" ht="15.75" customHeight="1">
      <c r="A3" s="366" t="s">
        <v>1516</v>
      </c>
      <c r="B3" s="366"/>
      <c r="C3" s="793"/>
      <c r="D3" s="166"/>
      <c r="E3" s="793"/>
      <c r="F3" s="793"/>
      <c r="G3" s="794"/>
      <c r="H3" s="793"/>
      <c r="I3" s="795"/>
      <c r="J3" s="795"/>
      <c r="K3" s="795"/>
    </row>
    <row r="4" spans="1:11" ht="17.25" customHeight="1">
      <c r="A4" s="796" t="s">
        <v>311</v>
      </c>
      <c r="B4" s="366"/>
      <c r="C4" s="793"/>
      <c r="D4" s="166"/>
      <c r="E4" s="793"/>
      <c r="F4" s="793"/>
      <c r="G4" s="794"/>
      <c r="H4" s="793"/>
      <c r="I4" s="795"/>
      <c r="J4" s="795"/>
      <c r="K4" s="795"/>
    </row>
    <row r="5" spans="1:11" ht="15.75" customHeight="1">
      <c r="A5" s="366" t="s">
        <v>654</v>
      </c>
      <c r="B5" s="366"/>
      <c r="C5" s="793"/>
      <c r="D5" s="166"/>
      <c r="E5" s="793"/>
      <c r="F5" s="793"/>
      <c r="G5" s="794"/>
      <c r="H5" s="793"/>
      <c r="I5" s="795"/>
      <c r="J5" s="795"/>
      <c r="K5" s="795"/>
    </row>
    <row r="6" spans="1:11" ht="13.5">
      <c r="A6" s="793"/>
      <c r="B6" s="793"/>
      <c r="C6" s="793"/>
      <c r="D6" s="166"/>
      <c r="E6" s="793"/>
      <c r="F6" s="793"/>
      <c r="G6" s="794"/>
      <c r="H6" s="793"/>
      <c r="I6" s="795"/>
      <c r="J6" s="795"/>
      <c r="K6" s="795"/>
    </row>
    <row r="7" spans="1:14" ht="48" customHeight="1">
      <c r="A7" s="370" t="s">
        <v>1178</v>
      </c>
      <c r="B7" s="370" t="s">
        <v>567</v>
      </c>
      <c r="C7" s="160" t="s">
        <v>568</v>
      </c>
      <c r="D7" s="167" t="s">
        <v>566</v>
      </c>
      <c r="E7" s="371" t="s">
        <v>372</v>
      </c>
      <c r="F7" s="170" t="s">
        <v>825</v>
      </c>
      <c r="G7" s="241" t="s">
        <v>921</v>
      </c>
      <c r="H7" s="170" t="s">
        <v>965</v>
      </c>
      <c r="I7" s="664" t="s">
        <v>1281</v>
      </c>
      <c r="J7" s="664" t="s">
        <v>1280</v>
      </c>
      <c r="K7" s="664" t="s">
        <v>1512</v>
      </c>
      <c r="L7" s="371" t="s">
        <v>372</v>
      </c>
      <c r="M7" s="660" t="s">
        <v>1513</v>
      </c>
      <c r="N7" s="661" t="s">
        <v>1514</v>
      </c>
    </row>
    <row r="8" spans="1:11" ht="27">
      <c r="A8" s="793"/>
      <c r="B8" s="793"/>
      <c r="C8" s="160" t="s">
        <v>569</v>
      </c>
      <c r="D8" s="167" t="s">
        <v>569</v>
      </c>
      <c r="E8" s="371" t="s">
        <v>371</v>
      </c>
      <c r="F8" s="167" t="s">
        <v>569</v>
      </c>
      <c r="G8" s="161"/>
      <c r="H8" s="167"/>
      <c r="I8" s="372"/>
      <c r="J8" s="372"/>
      <c r="K8" s="372"/>
    </row>
    <row r="9" spans="1:14" ht="13.5" customHeight="1">
      <c r="A9" s="797" t="s">
        <v>1303</v>
      </c>
      <c r="B9" s="797"/>
      <c r="C9" s="794"/>
      <c r="D9" s="166"/>
      <c r="E9" s="794"/>
      <c r="F9" s="794"/>
      <c r="G9" s="794"/>
      <c r="H9" s="798" t="s">
        <v>366</v>
      </c>
      <c r="I9" s="799" t="s">
        <v>366</v>
      </c>
      <c r="J9" s="799" t="s">
        <v>366</v>
      </c>
      <c r="K9" s="799"/>
      <c r="L9" s="800">
        <v>0</v>
      </c>
      <c r="M9" s="828">
        <v>0.06</v>
      </c>
      <c r="N9" s="828">
        <v>0.06</v>
      </c>
    </row>
    <row r="10" spans="1:14" ht="13.5">
      <c r="A10" s="801"/>
      <c r="B10" s="801"/>
      <c r="C10" s="801"/>
      <c r="D10" s="506"/>
      <c r="E10" s="801"/>
      <c r="F10" s="801"/>
      <c r="G10" s="801"/>
      <c r="H10" s="801"/>
      <c r="I10" s="802"/>
      <c r="J10" s="802"/>
      <c r="K10" s="802"/>
      <c r="N10" s="511"/>
    </row>
    <row r="11" spans="1:14" ht="15">
      <c r="A11" s="803"/>
      <c r="B11" s="505"/>
      <c r="C11" s="505"/>
      <c r="D11" s="506"/>
      <c r="E11" s="507"/>
      <c r="F11" s="804"/>
      <c r="G11" s="805"/>
      <c r="H11" s="806"/>
      <c r="I11" s="806"/>
      <c r="J11" s="806"/>
      <c r="K11" s="806"/>
      <c r="N11" s="511"/>
    </row>
    <row r="12" spans="1:14" ht="14.25" customHeight="1">
      <c r="A12" s="564" t="s">
        <v>1304</v>
      </c>
      <c r="B12" s="564"/>
      <c r="C12" s="564"/>
      <c r="D12" s="807"/>
      <c r="E12" s="808"/>
      <c r="F12" s="809"/>
      <c r="G12" s="810"/>
      <c r="H12" s="806"/>
      <c r="I12" s="806"/>
      <c r="J12" s="806"/>
      <c r="K12" s="806"/>
      <c r="N12" s="511"/>
    </row>
    <row r="13" spans="1:14" ht="12.75" customHeight="1">
      <c r="A13" s="564" t="s">
        <v>1258</v>
      </c>
      <c r="B13" s="564"/>
      <c r="C13" s="564"/>
      <c r="D13" s="807"/>
      <c r="E13" s="808"/>
      <c r="F13" s="809"/>
      <c r="G13" s="810"/>
      <c r="H13" s="806"/>
      <c r="I13" s="806"/>
      <c r="J13" s="806"/>
      <c r="K13" s="806"/>
      <c r="N13" s="511"/>
    </row>
    <row r="14" spans="1:14" ht="13.5">
      <c r="A14" s="559"/>
      <c r="B14" s="564"/>
      <c r="C14" s="564"/>
      <c r="D14" s="807"/>
      <c r="E14" s="808"/>
      <c r="F14" s="809"/>
      <c r="G14" s="810"/>
      <c r="H14" s="806"/>
      <c r="I14" s="811"/>
      <c r="J14" s="811" t="s">
        <v>357</v>
      </c>
      <c r="K14" s="811">
        <v>0</v>
      </c>
      <c r="M14" s="511">
        <f>(K14*$M$9)+K14</f>
        <v>0</v>
      </c>
      <c r="N14" s="511">
        <f>(M14*$N$9)+M14</f>
        <v>0</v>
      </c>
    </row>
    <row r="15" spans="1:14" ht="13.5">
      <c r="A15" s="559"/>
      <c r="B15" s="564"/>
      <c r="C15" s="564"/>
      <c r="D15" s="807"/>
      <c r="E15" s="808"/>
      <c r="F15" s="809"/>
      <c r="G15" s="810"/>
      <c r="H15" s="806"/>
      <c r="I15" s="811"/>
      <c r="J15" s="811" t="s">
        <v>357</v>
      </c>
      <c r="K15" s="811">
        <v>0</v>
      </c>
      <c r="M15" s="511">
        <v>0</v>
      </c>
      <c r="N15" s="511">
        <f>(M15*$N$9)+M15</f>
        <v>0</v>
      </c>
    </row>
    <row r="16" spans="1:14" ht="13.5">
      <c r="A16" s="505"/>
      <c r="B16" s="564">
        <v>1310</v>
      </c>
      <c r="C16" s="505">
        <v>941.38</v>
      </c>
      <c r="D16" s="506">
        <v>1035.518</v>
      </c>
      <c r="E16" s="507">
        <v>0.10000000000000003</v>
      </c>
      <c r="F16" s="387">
        <v>1197</v>
      </c>
      <c r="G16" s="805">
        <v>1268.8200000000002</v>
      </c>
      <c r="H16" s="806">
        <f>G16*1.06</f>
        <v>1344.9492000000002</v>
      </c>
      <c r="I16" s="806"/>
      <c r="J16" s="806"/>
      <c r="K16" s="811"/>
      <c r="N16" s="511"/>
    </row>
    <row r="17" spans="1:14" ht="13.5">
      <c r="A17" s="564" t="s">
        <v>1305</v>
      </c>
      <c r="B17" s="564">
        <v>1310</v>
      </c>
      <c r="C17" s="505">
        <v>151.25</v>
      </c>
      <c r="D17" s="506">
        <v>166.375</v>
      </c>
      <c r="E17" s="507">
        <v>0.1</v>
      </c>
      <c r="F17" s="387">
        <v>192</v>
      </c>
      <c r="G17" s="805">
        <v>203.52</v>
      </c>
      <c r="H17" s="806">
        <f>G17*1.06</f>
        <v>215.73120000000003</v>
      </c>
      <c r="I17" s="806"/>
      <c r="J17" s="806"/>
      <c r="K17" s="812"/>
      <c r="N17" s="511"/>
    </row>
    <row r="18" spans="1:14" ht="14.25" customHeight="1">
      <c r="A18" s="505" t="s">
        <v>1306</v>
      </c>
      <c r="B18" s="505">
        <v>1310</v>
      </c>
      <c r="C18" s="505">
        <v>941.38</v>
      </c>
      <c r="D18" s="506">
        <v>1035.518</v>
      </c>
      <c r="E18" s="507">
        <v>0.10000000000000003</v>
      </c>
      <c r="F18" s="387">
        <v>1197</v>
      </c>
      <c r="G18" s="805">
        <v>1268.8200000000002</v>
      </c>
      <c r="H18" s="806">
        <f>G18*1.06</f>
        <v>1344.9492000000002</v>
      </c>
      <c r="I18" s="811"/>
      <c r="J18" s="811" t="s">
        <v>357</v>
      </c>
      <c r="K18" s="813" t="s">
        <v>1307</v>
      </c>
      <c r="M18" s="511" t="s">
        <v>1341</v>
      </c>
      <c r="N18" s="511" t="s">
        <v>1344</v>
      </c>
    </row>
    <row r="19" spans="1:14" ht="36" customHeight="1">
      <c r="A19" s="505" t="s">
        <v>1308</v>
      </c>
      <c r="B19" s="814">
        <v>1310</v>
      </c>
      <c r="C19" s="815" t="s">
        <v>570</v>
      </c>
      <c r="D19" s="816" t="s">
        <v>755</v>
      </c>
      <c r="E19" s="817">
        <v>0.1</v>
      </c>
      <c r="F19" s="397" t="s">
        <v>961</v>
      </c>
      <c r="G19" s="818" t="s">
        <v>992</v>
      </c>
      <c r="H19" s="813" t="s">
        <v>993</v>
      </c>
      <c r="I19" s="811"/>
      <c r="J19" s="811" t="s">
        <v>357</v>
      </c>
      <c r="K19" s="812" t="s">
        <v>1309</v>
      </c>
      <c r="M19" s="511" t="s">
        <v>1342</v>
      </c>
      <c r="N19" s="511" t="s">
        <v>1345</v>
      </c>
    </row>
    <row r="20" spans="1:14" ht="23.25" customHeight="1">
      <c r="A20" s="505" t="s">
        <v>1310</v>
      </c>
      <c r="B20" s="814">
        <v>1310</v>
      </c>
      <c r="C20" s="814" t="s">
        <v>571</v>
      </c>
      <c r="D20" s="816" t="s">
        <v>755</v>
      </c>
      <c r="E20" s="817">
        <v>0.1</v>
      </c>
      <c r="F20" s="397" t="s">
        <v>961</v>
      </c>
      <c r="G20" s="818" t="s">
        <v>992</v>
      </c>
      <c r="H20" s="813" t="s">
        <v>993</v>
      </c>
      <c r="I20" s="811"/>
      <c r="J20" s="811" t="s">
        <v>357</v>
      </c>
      <c r="K20" s="812" t="s">
        <v>1311</v>
      </c>
      <c r="M20" s="511" t="s">
        <v>1343</v>
      </c>
      <c r="N20" s="511" t="s">
        <v>1346</v>
      </c>
    </row>
    <row r="21" spans="1:14" ht="13.5">
      <c r="A21" s="505"/>
      <c r="B21" s="814"/>
      <c r="C21" s="814"/>
      <c r="D21" s="816"/>
      <c r="E21" s="817"/>
      <c r="F21" s="397"/>
      <c r="G21" s="818"/>
      <c r="H21" s="813"/>
      <c r="I21" s="811"/>
      <c r="J21" s="811"/>
      <c r="K21" s="812"/>
      <c r="N21" s="511"/>
    </row>
    <row r="22" spans="1:14" ht="13.5">
      <c r="A22" s="505"/>
      <c r="B22" s="814"/>
      <c r="C22" s="814"/>
      <c r="D22" s="816"/>
      <c r="E22" s="817"/>
      <c r="F22" s="397"/>
      <c r="G22" s="818"/>
      <c r="H22" s="813"/>
      <c r="I22" s="811"/>
      <c r="J22" s="811"/>
      <c r="K22" s="812"/>
      <c r="N22" s="511"/>
    </row>
    <row r="23" spans="1:14" ht="13.5">
      <c r="A23" s="505"/>
      <c r="B23" s="814"/>
      <c r="C23" s="814"/>
      <c r="D23" s="816"/>
      <c r="E23" s="817"/>
      <c r="F23" s="397"/>
      <c r="G23" s="818"/>
      <c r="H23" s="813"/>
      <c r="I23" s="811"/>
      <c r="J23" s="811"/>
      <c r="K23" s="812"/>
      <c r="N23" s="511"/>
    </row>
    <row r="24" spans="1:14" ht="12.75" customHeight="1">
      <c r="A24" s="814" t="s">
        <v>1312</v>
      </c>
      <c r="B24" s="814">
        <v>1310</v>
      </c>
      <c r="C24" s="814" t="s">
        <v>570</v>
      </c>
      <c r="D24" s="816" t="s">
        <v>755</v>
      </c>
      <c r="E24" s="817">
        <v>0.1</v>
      </c>
      <c r="F24" s="397" t="s">
        <v>961</v>
      </c>
      <c r="G24" s="818" t="s">
        <v>992</v>
      </c>
      <c r="H24" s="813" t="s">
        <v>994</v>
      </c>
      <c r="I24" s="811"/>
      <c r="J24" s="811" t="s">
        <v>357</v>
      </c>
      <c r="K24" s="811">
        <v>140</v>
      </c>
      <c r="M24" s="511">
        <f>(K24*$M$9)+K24</f>
        <v>148.4</v>
      </c>
      <c r="N24" s="511">
        <f>(M24*$N$9)+M24</f>
        <v>157.304</v>
      </c>
    </row>
    <row r="25" spans="1:14" ht="12.75" customHeight="1">
      <c r="A25" s="814" t="s">
        <v>1313</v>
      </c>
      <c r="B25" s="814"/>
      <c r="C25" s="814"/>
      <c r="D25" s="816"/>
      <c r="E25" s="817"/>
      <c r="F25" s="397"/>
      <c r="G25" s="818"/>
      <c r="H25" s="813"/>
      <c r="I25" s="811"/>
      <c r="J25" s="811" t="s">
        <v>357</v>
      </c>
      <c r="K25" s="811">
        <v>110</v>
      </c>
      <c r="M25" s="511">
        <f>(K25*$M$9)+K25</f>
        <v>116.6</v>
      </c>
      <c r="N25" s="511">
        <f>(M25*$N$9)+M25</f>
        <v>123.59599999999999</v>
      </c>
    </row>
    <row r="26" spans="1:14" ht="12.75" customHeight="1">
      <c r="A26" s="814" t="s">
        <v>1314</v>
      </c>
      <c r="B26" s="814"/>
      <c r="C26" s="814"/>
      <c r="D26" s="816"/>
      <c r="E26" s="817"/>
      <c r="F26" s="397"/>
      <c r="G26" s="818"/>
      <c r="H26" s="813"/>
      <c r="I26" s="811"/>
      <c r="J26" s="811" t="s">
        <v>357</v>
      </c>
      <c r="K26" s="811">
        <v>70</v>
      </c>
      <c r="M26" s="511">
        <f>(K26*$M$9)+K26</f>
        <v>74.2</v>
      </c>
      <c r="N26" s="511">
        <f>(M26*$N$9)+M26</f>
        <v>78.652</v>
      </c>
    </row>
    <row r="27" spans="1:14" ht="12.75" customHeight="1">
      <c r="A27" s="814" t="s">
        <v>1315</v>
      </c>
      <c r="B27" s="814"/>
      <c r="C27" s="814"/>
      <c r="D27" s="816"/>
      <c r="E27" s="817"/>
      <c r="F27" s="397"/>
      <c r="G27" s="818"/>
      <c r="H27" s="813"/>
      <c r="I27" s="811"/>
      <c r="J27" s="811" t="s">
        <v>357</v>
      </c>
      <c r="K27" s="811">
        <v>24</v>
      </c>
      <c r="M27" s="511">
        <f>(K27*$M$9)+K27</f>
        <v>25.44</v>
      </c>
      <c r="N27" s="511">
        <f>(M27*$N$9)+M27</f>
        <v>26.9664</v>
      </c>
    </row>
    <row r="28" spans="1:14" ht="13.5">
      <c r="A28" s="814"/>
      <c r="B28" s="814"/>
      <c r="C28" s="814"/>
      <c r="D28" s="816"/>
      <c r="E28" s="817"/>
      <c r="F28" s="397"/>
      <c r="G28" s="818"/>
      <c r="H28" s="813"/>
      <c r="I28" s="811"/>
      <c r="J28" s="811"/>
      <c r="K28" s="811"/>
      <c r="N28" s="511"/>
    </row>
    <row r="29" spans="1:14" ht="30.75" customHeight="1">
      <c r="A29" s="774" t="s">
        <v>1316</v>
      </c>
      <c r="B29" s="814"/>
      <c r="C29" s="814"/>
      <c r="D29" s="816"/>
      <c r="E29" s="817"/>
      <c r="F29" s="397"/>
      <c r="G29" s="818"/>
      <c r="H29" s="813"/>
      <c r="I29" s="811"/>
      <c r="J29" s="811"/>
      <c r="K29" s="811"/>
      <c r="N29" s="511"/>
    </row>
    <row r="30" spans="1:14" ht="13.5">
      <c r="A30" s="814" t="s">
        <v>1312</v>
      </c>
      <c r="B30" s="814"/>
      <c r="C30" s="814"/>
      <c r="D30" s="816"/>
      <c r="E30" s="817"/>
      <c r="F30" s="397"/>
      <c r="G30" s="818"/>
      <c r="H30" s="813"/>
      <c r="I30" s="819"/>
      <c r="J30" s="819" t="s">
        <v>357</v>
      </c>
      <c r="K30" s="811">
        <v>140</v>
      </c>
      <c r="M30" s="511">
        <f>(K30*$M$9)+K30</f>
        <v>148.4</v>
      </c>
      <c r="N30" s="511">
        <f>(M30*$N$9)+M30</f>
        <v>157.304</v>
      </c>
    </row>
    <row r="31" spans="1:14" ht="13.5">
      <c r="A31" s="814" t="s">
        <v>1313</v>
      </c>
      <c r="B31" s="814"/>
      <c r="C31" s="814"/>
      <c r="D31" s="816"/>
      <c r="E31" s="817"/>
      <c r="F31" s="397"/>
      <c r="G31" s="818"/>
      <c r="H31" s="813"/>
      <c r="I31" s="819"/>
      <c r="J31" s="819" t="s">
        <v>357</v>
      </c>
      <c r="K31" s="811">
        <v>110</v>
      </c>
      <c r="M31" s="511">
        <f>(K31*$M$9)+K31</f>
        <v>116.6</v>
      </c>
      <c r="N31" s="511">
        <f>(M31*$N$9)+M31</f>
        <v>123.59599999999999</v>
      </c>
    </row>
    <row r="32" spans="1:14" ht="13.5">
      <c r="A32" s="814" t="s">
        <v>1314</v>
      </c>
      <c r="B32" s="814"/>
      <c r="C32" s="814"/>
      <c r="D32" s="816"/>
      <c r="E32" s="817"/>
      <c r="F32" s="397"/>
      <c r="G32" s="818"/>
      <c r="H32" s="813"/>
      <c r="I32" s="819"/>
      <c r="J32" s="819" t="s">
        <v>357</v>
      </c>
      <c r="K32" s="811">
        <v>70</v>
      </c>
      <c r="M32" s="511">
        <f>(K32*$M$9)+K32</f>
        <v>74.2</v>
      </c>
      <c r="N32" s="511">
        <f>(M32*$N$9)+M32</f>
        <v>78.652</v>
      </c>
    </row>
    <row r="33" spans="1:14" ht="13.5">
      <c r="A33" s="814" t="s">
        <v>1317</v>
      </c>
      <c r="B33" s="814"/>
      <c r="C33" s="814"/>
      <c r="D33" s="816"/>
      <c r="E33" s="817"/>
      <c r="F33" s="397"/>
      <c r="G33" s="818"/>
      <c r="H33" s="813"/>
      <c r="I33" s="819"/>
      <c r="J33" s="819" t="s">
        <v>357</v>
      </c>
      <c r="K33" s="811">
        <v>24</v>
      </c>
      <c r="M33" s="511">
        <f>(K33*$M$9)+K33</f>
        <v>25.44</v>
      </c>
      <c r="N33" s="511">
        <f>(M33*$N$9)+M33</f>
        <v>26.9664</v>
      </c>
    </row>
    <row r="34" spans="1:14" ht="13.5">
      <c r="A34" s="814"/>
      <c r="B34" s="814"/>
      <c r="C34" s="814"/>
      <c r="D34" s="816"/>
      <c r="E34" s="817"/>
      <c r="F34" s="397"/>
      <c r="G34" s="818"/>
      <c r="H34" s="813"/>
      <c r="I34" s="811"/>
      <c r="J34" s="811"/>
      <c r="K34" s="811"/>
      <c r="N34" s="511"/>
    </row>
    <row r="35" spans="1:14" ht="16.5" customHeight="1">
      <c r="A35" s="774" t="s">
        <v>1318</v>
      </c>
      <c r="B35" s="814"/>
      <c r="C35" s="814"/>
      <c r="D35" s="816"/>
      <c r="E35" s="817"/>
      <c r="F35" s="397"/>
      <c r="G35" s="818"/>
      <c r="H35" s="813"/>
      <c r="I35" s="811"/>
      <c r="J35" s="811"/>
      <c r="K35" s="811"/>
      <c r="N35" s="511"/>
    </row>
    <row r="36" spans="1:14" ht="15.75" customHeight="1">
      <c r="A36" s="814" t="s">
        <v>1319</v>
      </c>
      <c r="B36" s="814"/>
      <c r="C36" s="814"/>
      <c r="D36" s="816"/>
      <c r="E36" s="817"/>
      <c r="F36" s="397"/>
      <c r="G36" s="818"/>
      <c r="H36" s="813"/>
      <c r="I36" s="988"/>
      <c r="J36" s="988" t="s">
        <v>357</v>
      </c>
      <c r="K36" s="989" t="s">
        <v>1320</v>
      </c>
      <c r="M36" s="989" t="s">
        <v>1320</v>
      </c>
      <c r="N36" s="989" t="s">
        <v>1320</v>
      </c>
    </row>
    <row r="37" spans="1:14" ht="15" customHeight="1">
      <c r="A37" s="814" t="s">
        <v>1321</v>
      </c>
      <c r="B37" s="814"/>
      <c r="C37" s="814"/>
      <c r="D37" s="816"/>
      <c r="E37" s="817"/>
      <c r="F37" s="397"/>
      <c r="G37" s="818"/>
      <c r="H37" s="813"/>
      <c r="I37" s="988"/>
      <c r="J37" s="988"/>
      <c r="K37" s="989"/>
      <c r="M37" s="989"/>
      <c r="N37" s="989"/>
    </row>
    <row r="38" spans="1:14" ht="12.75" customHeight="1">
      <c r="A38" s="814" t="s">
        <v>1322</v>
      </c>
      <c r="B38" s="814"/>
      <c r="C38" s="814"/>
      <c r="D38" s="816"/>
      <c r="E38" s="817"/>
      <c r="F38" s="397"/>
      <c r="G38" s="818"/>
      <c r="H38" s="813"/>
      <c r="I38" s="988"/>
      <c r="J38" s="988"/>
      <c r="K38" s="989"/>
      <c r="M38" s="989"/>
      <c r="N38" s="989"/>
    </row>
    <row r="39" spans="1:14" ht="13.5" customHeight="1">
      <c r="A39" s="814" t="s">
        <v>1323</v>
      </c>
      <c r="B39" s="814"/>
      <c r="C39" s="814"/>
      <c r="D39" s="816"/>
      <c r="E39" s="817"/>
      <c r="F39" s="397"/>
      <c r="G39" s="818"/>
      <c r="H39" s="813"/>
      <c r="I39" s="988"/>
      <c r="J39" s="988"/>
      <c r="K39" s="989"/>
      <c r="M39" s="989"/>
      <c r="N39" s="989"/>
    </row>
    <row r="40" spans="1:14" ht="15" customHeight="1">
      <c r="A40" s="814" t="s">
        <v>1324</v>
      </c>
      <c r="B40" s="814"/>
      <c r="C40" s="814"/>
      <c r="D40" s="816"/>
      <c r="E40" s="817"/>
      <c r="F40" s="397"/>
      <c r="G40" s="818"/>
      <c r="H40" s="813"/>
      <c r="I40" s="988"/>
      <c r="J40" s="988"/>
      <c r="K40" s="989"/>
      <c r="M40" s="989"/>
      <c r="N40" s="989"/>
    </row>
    <row r="41" spans="1:14" ht="15.75" customHeight="1">
      <c r="A41" s="814" t="s">
        <v>1325</v>
      </c>
      <c r="B41" s="814"/>
      <c r="C41" s="814"/>
      <c r="D41" s="816"/>
      <c r="E41" s="817"/>
      <c r="F41" s="397"/>
      <c r="G41" s="818"/>
      <c r="H41" s="813"/>
      <c r="I41" s="988"/>
      <c r="J41" s="988"/>
      <c r="K41" s="989"/>
      <c r="M41" s="989"/>
      <c r="N41" s="989"/>
    </row>
    <row r="42" spans="1:14" ht="16.5" customHeight="1">
      <c r="A42" s="814" t="s">
        <v>1326</v>
      </c>
      <c r="B42" s="814"/>
      <c r="C42" s="814"/>
      <c r="D42" s="816"/>
      <c r="E42" s="817"/>
      <c r="F42" s="397"/>
      <c r="G42" s="818"/>
      <c r="H42" s="813"/>
      <c r="I42" s="988"/>
      <c r="J42" s="988"/>
      <c r="K42" s="989"/>
      <c r="M42" s="989"/>
      <c r="N42" s="989"/>
    </row>
    <row r="43" spans="1:14" ht="15" customHeight="1">
      <c r="A43" s="814" t="s">
        <v>1327</v>
      </c>
      <c r="B43" s="814"/>
      <c r="C43" s="814"/>
      <c r="D43" s="816"/>
      <c r="E43" s="817"/>
      <c r="F43" s="397"/>
      <c r="G43" s="818"/>
      <c r="H43" s="813"/>
      <c r="I43" s="988"/>
      <c r="J43" s="988"/>
      <c r="K43" s="989"/>
      <c r="M43" s="989"/>
      <c r="N43" s="989"/>
    </row>
    <row r="44" spans="1:14" ht="12.75" customHeight="1">
      <c r="A44" s="814" t="s">
        <v>1328</v>
      </c>
      <c r="B44" s="814"/>
      <c r="C44" s="814"/>
      <c r="D44" s="816"/>
      <c r="E44" s="817"/>
      <c r="F44" s="397"/>
      <c r="G44" s="818"/>
      <c r="H44" s="813"/>
      <c r="I44" s="988"/>
      <c r="J44" s="988"/>
      <c r="K44" s="989"/>
      <c r="M44" s="989"/>
      <c r="N44" s="989"/>
    </row>
    <row r="45" spans="1:14" ht="13.5">
      <c r="A45" s="814"/>
      <c r="B45" s="814"/>
      <c r="C45" s="814"/>
      <c r="D45" s="816"/>
      <c r="E45" s="817"/>
      <c r="F45" s="397"/>
      <c r="G45" s="818"/>
      <c r="H45" s="813"/>
      <c r="I45" s="811"/>
      <c r="J45" s="811"/>
      <c r="K45" s="811"/>
      <c r="N45" s="511"/>
    </row>
    <row r="46" spans="1:14" ht="13.5">
      <c r="A46" s="814"/>
      <c r="B46" s="814"/>
      <c r="C46" s="814"/>
      <c r="D46" s="816"/>
      <c r="E46" s="817"/>
      <c r="F46" s="397"/>
      <c r="G46" s="818"/>
      <c r="H46" s="813"/>
      <c r="I46" s="811"/>
      <c r="J46" s="811"/>
      <c r="K46" s="811"/>
      <c r="N46" s="511"/>
    </row>
    <row r="47" spans="1:14" ht="13.5">
      <c r="A47" s="814"/>
      <c r="B47" s="814"/>
      <c r="C47" s="814"/>
      <c r="D47" s="816"/>
      <c r="E47" s="817"/>
      <c r="F47" s="397"/>
      <c r="G47" s="818"/>
      <c r="H47" s="813"/>
      <c r="I47" s="811"/>
      <c r="J47" s="811"/>
      <c r="K47" s="811"/>
      <c r="N47" s="511"/>
    </row>
    <row r="48" spans="1:14" ht="13.5">
      <c r="A48" s="814"/>
      <c r="B48" s="814"/>
      <c r="C48" s="814"/>
      <c r="D48" s="816"/>
      <c r="E48" s="817"/>
      <c r="F48" s="397"/>
      <c r="G48" s="818"/>
      <c r="H48" s="813"/>
      <c r="I48" s="811"/>
      <c r="J48" s="811"/>
      <c r="K48" s="811"/>
      <c r="N48" s="511"/>
    </row>
    <row r="49" spans="1:14" ht="14.25" customHeight="1">
      <c r="A49" s="814" t="s">
        <v>1329</v>
      </c>
      <c r="B49" s="814"/>
      <c r="C49" s="814"/>
      <c r="D49" s="816"/>
      <c r="E49" s="817"/>
      <c r="F49" s="397"/>
      <c r="G49" s="818"/>
      <c r="H49" s="813"/>
      <c r="I49" s="811"/>
      <c r="J49" s="811" t="s">
        <v>357</v>
      </c>
      <c r="K49" s="811">
        <v>1000</v>
      </c>
      <c r="M49" s="511">
        <f>(K49*$M$9)+K49</f>
        <v>1060</v>
      </c>
      <c r="N49" s="511">
        <f>(M49*$N$9)+M49</f>
        <v>1123.6</v>
      </c>
    </row>
    <row r="50" spans="1:14" ht="11.25" customHeight="1">
      <c r="A50" s="505" t="s">
        <v>165</v>
      </c>
      <c r="B50" s="814"/>
      <c r="C50" s="814"/>
      <c r="D50" s="816"/>
      <c r="E50" s="817"/>
      <c r="F50" s="397"/>
      <c r="G50" s="818"/>
      <c r="H50" s="813"/>
      <c r="I50" s="811"/>
      <c r="J50" s="811"/>
      <c r="K50" s="811"/>
      <c r="M50" s="511">
        <f>(K50*$M$9)+K50</f>
        <v>0</v>
      </c>
      <c r="N50" s="511">
        <f>(M50*$N$9)+M50</f>
        <v>0</v>
      </c>
    </row>
    <row r="51" spans="1:14" ht="12.75" customHeight="1">
      <c r="A51" s="505" t="s">
        <v>1330</v>
      </c>
      <c r="B51" s="814"/>
      <c r="C51" s="814"/>
      <c r="D51" s="816"/>
      <c r="E51" s="817"/>
      <c r="F51" s="397"/>
      <c r="G51" s="818"/>
      <c r="H51" s="813"/>
      <c r="I51" s="820"/>
      <c r="J51" s="820" t="s">
        <v>357</v>
      </c>
      <c r="K51" s="811">
        <v>300</v>
      </c>
      <c r="M51" s="511">
        <f>(K51*$M$9)+K51</f>
        <v>318</v>
      </c>
      <c r="N51" s="511">
        <f>(M51*$N$9)+M51</f>
        <v>337.08</v>
      </c>
    </row>
    <row r="52" spans="1:14" ht="13.5" customHeight="1">
      <c r="A52" s="505" t="s">
        <v>1331</v>
      </c>
      <c r="B52" s="814"/>
      <c r="C52" s="814"/>
      <c r="D52" s="816"/>
      <c r="E52" s="817"/>
      <c r="F52" s="397"/>
      <c r="G52" s="818"/>
      <c r="H52" s="813"/>
      <c r="I52" s="820"/>
      <c r="J52" s="820" t="s">
        <v>357</v>
      </c>
      <c r="K52" s="811">
        <v>500</v>
      </c>
      <c r="M52" s="511">
        <f>(K52*$M$9)+K52</f>
        <v>530</v>
      </c>
      <c r="N52" s="511">
        <f>(M52*$N$9)+M52</f>
        <v>561.8</v>
      </c>
    </row>
    <row r="53" spans="1:14" ht="13.5" customHeight="1">
      <c r="A53" s="505" t="s">
        <v>1332</v>
      </c>
      <c r="B53" s="814"/>
      <c r="C53" s="814"/>
      <c r="D53" s="816"/>
      <c r="E53" s="817"/>
      <c r="F53" s="397"/>
      <c r="G53" s="818"/>
      <c r="H53" s="813"/>
      <c r="I53" s="821"/>
      <c r="J53" s="821" t="s">
        <v>357</v>
      </c>
      <c r="K53" s="811">
        <v>1000</v>
      </c>
      <c r="M53" s="511">
        <f>(K53*$M$9)+K53</f>
        <v>1060</v>
      </c>
      <c r="N53" s="511">
        <f>(M53*$N$9)+M53</f>
        <v>1123.6</v>
      </c>
    </row>
    <row r="54" spans="1:14" ht="13.5" customHeight="1">
      <c r="A54" s="814"/>
      <c r="B54" s="814">
        <v>1310</v>
      </c>
      <c r="C54" s="814" t="s">
        <v>570</v>
      </c>
      <c r="D54" s="816" t="s">
        <v>755</v>
      </c>
      <c r="E54" s="817">
        <v>0.1</v>
      </c>
      <c r="F54" s="397" t="s">
        <v>961</v>
      </c>
      <c r="G54" s="818" t="s">
        <v>992</v>
      </c>
      <c r="H54" s="813" t="s">
        <v>994</v>
      </c>
      <c r="I54" s="813"/>
      <c r="J54" s="813"/>
      <c r="K54" s="811"/>
      <c r="N54" s="511"/>
    </row>
    <row r="55" spans="1:14" ht="34.5" customHeight="1">
      <c r="A55" s="774" t="s">
        <v>1333</v>
      </c>
      <c r="B55" s="814">
        <v>1310</v>
      </c>
      <c r="C55" s="822" t="s">
        <v>570</v>
      </c>
      <c r="D55" s="818" t="s">
        <v>755</v>
      </c>
      <c r="E55" s="817">
        <v>0.1</v>
      </c>
      <c r="F55" s="397" t="s">
        <v>961</v>
      </c>
      <c r="G55" s="818" t="s">
        <v>992</v>
      </c>
      <c r="H55" s="813" t="s">
        <v>994</v>
      </c>
      <c r="I55" s="813"/>
      <c r="J55" s="813"/>
      <c r="K55" s="811"/>
      <c r="N55" s="511"/>
    </row>
    <row r="56" spans="1:14" ht="15.75" customHeight="1">
      <c r="A56" s="505" t="s">
        <v>1334</v>
      </c>
      <c r="B56" s="505">
        <v>1310</v>
      </c>
      <c r="C56" s="787">
        <v>373.89</v>
      </c>
      <c r="D56" s="788">
        <v>411.279</v>
      </c>
      <c r="E56" s="507">
        <v>0.10000000000000003</v>
      </c>
      <c r="F56" s="387">
        <v>475</v>
      </c>
      <c r="G56" s="805">
        <v>503.5</v>
      </c>
      <c r="H56" s="806">
        <f>G56*1.06</f>
        <v>533.71</v>
      </c>
      <c r="I56" s="806"/>
      <c r="J56" s="806"/>
      <c r="K56" s="811">
        <v>1000</v>
      </c>
      <c r="M56" s="511">
        <f>(K56*$M$9)+K56</f>
        <v>1060</v>
      </c>
      <c r="N56" s="511">
        <f>(M56*$N$9)+M56</f>
        <v>1123.6</v>
      </c>
    </row>
    <row r="57" spans="1:14" ht="13.5" customHeight="1">
      <c r="A57" s="505" t="s">
        <v>1335</v>
      </c>
      <c r="B57" s="505">
        <v>1310</v>
      </c>
      <c r="C57" s="787">
        <v>2515.59</v>
      </c>
      <c r="D57" s="788">
        <v>2767.1490000000003</v>
      </c>
      <c r="E57" s="507">
        <v>0.10000000000000007</v>
      </c>
      <c r="F57" s="387">
        <v>3198</v>
      </c>
      <c r="G57" s="805">
        <v>3389.88</v>
      </c>
      <c r="H57" s="806">
        <f>G57*1.06</f>
        <v>3593.2728</v>
      </c>
      <c r="I57" s="806"/>
      <c r="J57" s="806"/>
      <c r="K57" s="811">
        <v>3000</v>
      </c>
      <c r="M57" s="511">
        <f>(K57*$M$9)+K57</f>
        <v>3180</v>
      </c>
      <c r="N57" s="511">
        <f>(M57*$N$9)+M57</f>
        <v>3370.8</v>
      </c>
    </row>
    <row r="58" spans="1:14" ht="13.5" customHeight="1">
      <c r="A58" s="505" t="s">
        <v>1336</v>
      </c>
      <c r="B58" s="505"/>
      <c r="C58" s="787"/>
      <c r="D58" s="788"/>
      <c r="E58" s="507"/>
      <c r="F58" s="387"/>
      <c r="G58" s="805"/>
      <c r="H58" s="813" t="s">
        <v>1152</v>
      </c>
      <c r="I58" s="806"/>
      <c r="J58" s="806"/>
      <c r="K58" s="811">
        <v>4500</v>
      </c>
      <c r="M58" s="511">
        <f>(K58*$M$9)+K58</f>
        <v>4770</v>
      </c>
      <c r="N58" s="511">
        <f>(M58*$N$9)+M58</f>
        <v>5056.2</v>
      </c>
    </row>
    <row r="59" spans="1:14" ht="14.25" customHeight="1">
      <c r="A59" s="505" t="s">
        <v>1337</v>
      </c>
      <c r="B59" s="505"/>
      <c r="C59" s="787"/>
      <c r="D59" s="788"/>
      <c r="E59" s="507"/>
      <c r="F59" s="387"/>
      <c r="G59" s="805"/>
      <c r="H59" s="813"/>
      <c r="I59" s="806"/>
      <c r="J59" s="806"/>
      <c r="K59" s="811">
        <v>6000</v>
      </c>
      <c r="M59" s="511">
        <f>(K59*$M$9)+K59</f>
        <v>6360</v>
      </c>
      <c r="N59" s="511">
        <f>(M59*$N$9)+M59</f>
        <v>6741.6</v>
      </c>
    </row>
    <row r="60" spans="1:14" ht="12" customHeight="1">
      <c r="A60" s="505" t="s">
        <v>1338</v>
      </c>
      <c r="B60" s="505"/>
      <c r="C60" s="787"/>
      <c r="D60" s="788"/>
      <c r="E60" s="507"/>
      <c r="F60" s="387"/>
      <c r="G60" s="805"/>
      <c r="H60" s="813"/>
      <c r="I60" s="806"/>
      <c r="J60" s="806"/>
      <c r="K60" s="811">
        <v>0</v>
      </c>
      <c r="M60" s="511">
        <f>(K60*$M$9)+K60</f>
        <v>0</v>
      </c>
      <c r="N60" s="511">
        <f>(M60*$N$9)+M60</f>
        <v>0</v>
      </c>
    </row>
    <row r="61" spans="1:14" ht="13.5">
      <c r="A61" s="505"/>
      <c r="B61" s="505"/>
      <c r="C61" s="787"/>
      <c r="D61" s="788"/>
      <c r="E61" s="507"/>
      <c r="F61" s="387"/>
      <c r="G61" s="805"/>
      <c r="H61" s="813"/>
      <c r="I61" s="806"/>
      <c r="J61" s="806"/>
      <c r="K61" s="811"/>
      <c r="N61" s="511"/>
    </row>
    <row r="62" spans="1:14" ht="13.5">
      <c r="A62" s="505"/>
      <c r="B62" s="505"/>
      <c r="C62" s="787"/>
      <c r="D62" s="788"/>
      <c r="E62" s="507"/>
      <c r="F62" s="387"/>
      <c r="G62" s="805"/>
      <c r="H62" s="813"/>
      <c r="I62" s="806"/>
      <c r="J62" s="806"/>
      <c r="K62" s="811"/>
      <c r="N62" s="511"/>
    </row>
    <row r="63" spans="1:14" ht="13.5">
      <c r="A63" s="564" t="s">
        <v>1157</v>
      </c>
      <c r="B63" s="564"/>
      <c r="C63" s="823"/>
      <c r="D63" s="824"/>
      <c r="E63" s="808"/>
      <c r="F63" s="514"/>
      <c r="G63" s="810"/>
      <c r="H63" s="825"/>
      <c r="I63" s="825"/>
      <c r="J63" s="825"/>
      <c r="K63" s="811"/>
      <c r="N63" s="511"/>
    </row>
    <row r="64" spans="1:14" ht="12.75" customHeight="1">
      <c r="A64" s="505" t="s">
        <v>1339</v>
      </c>
      <c r="B64" s="505">
        <v>1310</v>
      </c>
      <c r="C64" s="787">
        <v>344.85</v>
      </c>
      <c r="D64" s="788">
        <v>379.33500000000004</v>
      </c>
      <c r="E64" s="507">
        <v>0.10000000000000003</v>
      </c>
      <c r="F64" s="387">
        <v>438</v>
      </c>
      <c r="G64" s="805">
        <v>464.28000000000003</v>
      </c>
      <c r="H64" s="806">
        <f>G64*1.06</f>
        <v>492.13680000000005</v>
      </c>
      <c r="I64" s="806"/>
      <c r="J64" s="806" t="s">
        <v>357</v>
      </c>
      <c r="K64" s="811">
        <v>2000</v>
      </c>
      <c r="M64" s="511">
        <f>(K64*$M$9)+K64</f>
        <v>2120</v>
      </c>
      <c r="N64" s="511">
        <f>(M64*$N$9)+M64</f>
        <v>2247.2</v>
      </c>
    </row>
    <row r="65" spans="1:14" ht="13.5">
      <c r="A65" s="505"/>
      <c r="B65" s="505">
        <v>1310</v>
      </c>
      <c r="C65" s="787">
        <v>762.3</v>
      </c>
      <c r="D65" s="788">
        <v>838.53</v>
      </c>
      <c r="E65" s="507">
        <v>0.10000000000000003</v>
      </c>
      <c r="F65" s="387">
        <v>969</v>
      </c>
      <c r="G65" s="805">
        <v>1027.14</v>
      </c>
      <c r="H65" s="806">
        <f>G65*1.06</f>
        <v>1088.7684000000002</v>
      </c>
      <c r="I65" s="806"/>
      <c r="J65" s="806"/>
      <c r="K65" s="811">
        <f>(J65*L65)+J65</f>
        <v>0</v>
      </c>
      <c r="M65" s="511">
        <f>(K65*$M$9)+K65</f>
        <v>0</v>
      </c>
      <c r="N65" s="511">
        <f>(M65*$N$9)+M65</f>
        <v>0</v>
      </c>
    </row>
    <row r="66" spans="1:14" ht="14.25" customHeight="1">
      <c r="A66" s="505"/>
      <c r="B66" s="505"/>
      <c r="C66" s="787"/>
      <c r="D66" s="788"/>
      <c r="E66" s="507"/>
      <c r="F66" s="387"/>
      <c r="G66" s="805"/>
      <c r="H66" s="813" t="s">
        <v>1152</v>
      </c>
      <c r="I66" s="806"/>
      <c r="J66" s="806"/>
      <c r="K66" s="811">
        <f>(J66*L66)+J66</f>
        <v>0</v>
      </c>
      <c r="M66" s="511">
        <f>(K66*$M$9)+K66</f>
        <v>0</v>
      </c>
      <c r="N66" s="511">
        <f>(M66*$N$9)+M66</f>
        <v>0</v>
      </c>
    </row>
    <row r="67" spans="1:14" ht="13.5" customHeight="1">
      <c r="A67" s="505"/>
      <c r="B67" s="505"/>
      <c r="C67" s="787"/>
      <c r="D67" s="788"/>
      <c r="E67" s="507"/>
      <c r="F67" s="387"/>
      <c r="G67" s="805"/>
      <c r="H67" s="813" t="s">
        <v>1152</v>
      </c>
      <c r="I67" s="806"/>
      <c r="J67" s="806"/>
      <c r="K67" s="811">
        <f>(J67*L67)+J67</f>
        <v>0</v>
      </c>
      <c r="M67" s="511">
        <f>(K67*$M$9)+K67</f>
        <v>0</v>
      </c>
      <c r="N67" s="511">
        <f>(M67*$N$9)+M67</f>
        <v>0</v>
      </c>
    </row>
    <row r="68" spans="1:14" ht="13.5">
      <c r="A68" s="505"/>
      <c r="B68" s="505"/>
      <c r="C68" s="826"/>
      <c r="D68" s="506"/>
      <c r="E68" s="507"/>
      <c r="F68" s="801"/>
      <c r="G68" s="816"/>
      <c r="H68" s="806"/>
      <c r="I68" s="806"/>
      <c r="J68" s="806"/>
      <c r="K68" s="811"/>
      <c r="N68" s="511"/>
    </row>
    <row r="69" spans="1:14" ht="13.5">
      <c r="A69" s="505"/>
      <c r="B69" s="505"/>
      <c r="C69" s="505"/>
      <c r="D69" s="506"/>
      <c r="E69" s="507"/>
      <c r="F69" s="804"/>
      <c r="G69" s="805"/>
      <c r="H69" s="806"/>
      <c r="I69" s="806"/>
      <c r="J69" s="806"/>
      <c r="K69" s="811"/>
      <c r="N69" s="511"/>
    </row>
    <row r="70" spans="1:14" ht="13.5" customHeight="1">
      <c r="A70" s="564" t="s">
        <v>408</v>
      </c>
      <c r="B70" s="564"/>
      <c r="C70" s="564"/>
      <c r="D70" s="807"/>
      <c r="E70" s="808"/>
      <c r="F70" s="809"/>
      <c r="G70" s="810"/>
      <c r="H70" s="806"/>
      <c r="I70" s="806"/>
      <c r="J70" s="806"/>
      <c r="K70" s="811"/>
      <c r="N70" s="511"/>
    </row>
    <row r="71" spans="1:14" ht="14.25" customHeight="1">
      <c r="A71" s="564" t="s">
        <v>219</v>
      </c>
      <c r="B71" s="564"/>
      <c r="C71" s="564"/>
      <c r="D71" s="807"/>
      <c r="E71" s="808"/>
      <c r="F71" s="809"/>
      <c r="G71" s="810"/>
      <c r="H71" s="806"/>
      <c r="I71" s="806"/>
      <c r="J71" s="806"/>
      <c r="K71" s="811"/>
      <c r="N71" s="511"/>
    </row>
    <row r="72" spans="1:14" ht="13.5" customHeight="1">
      <c r="A72" s="505" t="s">
        <v>223</v>
      </c>
      <c r="B72" s="505">
        <v>1309</v>
      </c>
      <c r="C72" s="826">
        <v>11</v>
      </c>
      <c r="D72" s="506">
        <v>12.100000000000001</v>
      </c>
      <c r="E72" s="507">
        <v>0.10000000000000013</v>
      </c>
      <c r="F72" s="387">
        <v>14</v>
      </c>
      <c r="G72" s="805">
        <v>14.84</v>
      </c>
      <c r="H72" s="806">
        <f>G72*1.06</f>
        <v>15.730400000000001</v>
      </c>
      <c r="I72" s="806"/>
      <c r="J72" s="806" t="s">
        <v>1340</v>
      </c>
      <c r="K72" s="811">
        <v>19</v>
      </c>
      <c r="M72" s="511">
        <f>(K72*$M$9)+K72</f>
        <v>20.14</v>
      </c>
      <c r="N72" s="511">
        <f>(M72*$N$9)+M72</f>
        <v>21.3484</v>
      </c>
    </row>
    <row r="73" spans="1:14" ht="12.75" customHeight="1">
      <c r="A73" s="505" t="s">
        <v>224</v>
      </c>
      <c r="B73" s="505">
        <v>1309</v>
      </c>
      <c r="C73" s="826">
        <v>5.5</v>
      </c>
      <c r="D73" s="506">
        <v>6.050000000000001</v>
      </c>
      <c r="E73" s="507">
        <v>0.10000000000000013</v>
      </c>
      <c r="F73" s="387">
        <v>7</v>
      </c>
      <c r="G73" s="805">
        <v>7.42</v>
      </c>
      <c r="H73" s="806">
        <f>G73*1.06</f>
        <v>7.865200000000001</v>
      </c>
      <c r="I73" s="806"/>
      <c r="J73" s="806" t="s">
        <v>1340</v>
      </c>
      <c r="K73" s="811">
        <v>9</v>
      </c>
      <c r="M73" s="511">
        <f>(K73*$M$9)+K73</f>
        <v>9.54</v>
      </c>
      <c r="N73" s="511">
        <f>(M73*$N$9)+M73</f>
        <v>10.1124</v>
      </c>
    </row>
    <row r="74" spans="1:14" ht="13.5">
      <c r="A74" s="505"/>
      <c r="B74" s="505"/>
      <c r="C74" s="826"/>
      <c r="D74" s="506"/>
      <c r="E74" s="507"/>
      <c r="F74" s="804"/>
      <c r="G74" s="805"/>
      <c r="H74" s="806"/>
      <c r="I74" s="806"/>
      <c r="J74" s="806"/>
      <c r="K74" s="811"/>
      <c r="N74" s="511"/>
    </row>
    <row r="75" spans="1:14" ht="14.25" customHeight="1">
      <c r="A75" s="564" t="s">
        <v>409</v>
      </c>
      <c r="B75" s="564"/>
      <c r="C75" s="827"/>
      <c r="D75" s="807"/>
      <c r="E75" s="808"/>
      <c r="F75" s="809"/>
      <c r="G75" s="810"/>
      <c r="H75" s="806"/>
      <c r="I75" s="806"/>
      <c r="J75" s="806"/>
      <c r="K75" s="811"/>
      <c r="N75" s="511"/>
    </row>
    <row r="76" spans="1:14" ht="12.75" customHeight="1">
      <c r="A76" s="801" t="s">
        <v>224</v>
      </c>
      <c r="B76" s="801"/>
      <c r="C76" s="801"/>
      <c r="D76" s="506"/>
      <c r="E76" s="507"/>
      <c r="F76" s="804"/>
      <c r="G76" s="805"/>
      <c r="H76" s="806"/>
      <c r="I76" s="806"/>
      <c r="J76" s="806" t="s">
        <v>1340</v>
      </c>
      <c r="K76" s="811">
        <v>19</v>
      </c>
      <c r="M76" s="511">
        <f>(K76*$M$9)+K76</f>
        <v>20.14</v>
      </c>
      <c r="N76" s="511">
        <f>(M76*$N$9)+M76</f>
        <v>21.3484</v>
      </c>
    </row>
    <row r="77" spans="1:11" ht="13.5">
      <c r="A77" s="793"/>
      <c r="B77" s="793"/>
      <c r="C77" s="793"/>
      <c r="D77" s="793"/>
      <c r="E77" s="793"/>
      <c r="F77" s="793"/>
      <c r="G77" s="166"/>
      <c r="H77" s="166"/>
      <c r="I77" s="407"/>
      <c r="J77" s="407"/>
      <c r="K77" s="407"/>
    </row>
    <row r="78" ht="27">
      <c r="A78" s="797" t="s">
        <v>1170</v>
      </c>
    </row>
  </sheetData>
  <sheetProtection/>
  <mergeCells count="5">
    <mergeCell ref="I36:I44"/>
    <mergeCell ref="K36:K44"/>
    <mergeCell ref="M36:M44"/>
    <mergeCell ref="N36:N44"/>
    <mergeCell ref="J36:J44"/>
  </mergeCells>
  <printOptions gridLines="1"/>
  <pageMargins left="0.7" right="0.7" top="0.75" bottom="0.75" header="0.3" footer="0.3"/>
  <pageSetup horizontalDpi="600" verticalDpi="600" orientation="landscape" paperSize="9" scale="71" r:id="rId1"/>
  <rowBreaks count="1" manualBreakCount="1">
    <brk id="4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Q284"/>
  <sheetViews>
    <sheetView zoomScale="90" zoomScaleNormal="90" zoomScalePageLayoutView="0" workbookViewId="0" topLeftCell="A1">
      <pane xSplit="1" ySplit="7" topLeftCell="J8" activePane="bottomRight" state="frozen"/>
      <selection pane="topLeft" activeCell="A1" sqref="A1"/>
      <selection pane="topRight" activeCell="B1" sqref="B1"/>
      <selection pane="bottomLeft" activeCell="A8" sqref="A8"/>
      <selection pane="bottomRight" activeCell="L21" sqref="L21"/>
    </sheetView>
  </sheetViews>
  <sheetFormatPr defaultColWidth="9.140625" defaultRowHeight="12.75"/>
  <cols>
    <col min="1" max="1" width="103.140625" style="156" customWidth="1"/>
    <col min="2" max="2" width="50.57421875" style="156" hidden="1" customWidth="1"/>
    <col min="3" max="3" width="28.140625" style="156" hidden="1" customWidth="1"/>
    <col min="4" max="4" width="20.00390625" style="47" hidden="1" customWidth="1"/>
    <col min="5" max="5" width="13.8515625" style="156" hidden="1" customWidth="1"/>
    <col min="6" max="6" width="8.57421875" style="562" hidden="1" customWidth="1"/>
    <col min="7" max="7" width="14.57421875" style="562" hidden="1" customWidth="1"/>
    <col min="8" max="8" width="17.57421875" style="562" hidden="1" customWidth="1"/>
    <col min="9" max="9" width="17.421875" style="151" hidden="1" customWidth="1"/>
    <col min="10" max="11" width="17.421875" style="151" customWidth="1"/>
    <col min="12" max="12" width="14.421875" style="156" customWidth="1"/>
    <col min="13" max="14" width="9.140625" style="156" hidden="1" customWidth="1"/>
    <col min="15" max="17" width="15.57421875" style="156" customWidth="1"/>
    <col min="18" max="16384" width="9.140625" style="156" customWidth="1"/>
  </cols>
  <sheetData>
    <row r="1" spans="2:12" ht="17.25">
      <c r="B1" s="162"/>
      <c r="C1" s="155"/>
      <c r="D1" s="171" t="s">
        <v>555</v>
      </c>
      <c r="E1" s="155"/>
      <c r="F1" s="155"/>
      <c r="G1" s="240"/>
      <c r="H1" s="155"/>
      <c r="J1" s="976" t="s">
        <v>1083</v>
      </c>
      <c r="K1" s="976"/>
      <c r="L1" s="976"/>
    </row>
    <row r="2" spans="1:12" ht="15">
      <c r="A2" s="710" t="s">
        <v>20</v>
      </c>
      <c r="B2" s="155"/>
      <c r="C2" s="155"/>
      <c r="D2" s="166"/>
      <c r="E2" s="155"/>
      <c r="F2" s="155"/>
      <c r="G2" s="240"/>
      <c r="H2" s="155"/>
      <c r="I2" s="255"/>
      <c r="J2" s="255"/>
      <c r="K2" s="255"/>
      <c r="L2" s="155"/>
    </row>
    <row r="3" spans="1:12" ht="17.25">
      <c r="A3" s="373" t="s">
        <v>1516</v>
      </c>
      <c r="B3" s="366"/>
      <c r="C3" s="367"/>
      <c r="D3" s="166"/>
      <c r="E3" s="367"/>
      <c r="F3" s="367"/>
      <c r="G3" s="368"/>
      <c r="H3" s="367"/>
      <c r="I3" s="369"/>
      <c r="J3" s="369"/>
      <c r="K3" s="369"/>
      <c r="L3" s="367"/>
    </row>
    <row r="4" spans="1:12" ht="17.25">
      <c r="A4" s="696" t="s">
        <v>311</v>
      </c>
      <c r="B4" s="366"/>
      <c r="C4" s="367"/>
      <c r="D4" s="166"/>
      <c r="E4" s="367"/>
      <c r="F4" s="367"/>
      <c r="G4" s="368"/>
      <c r="H4" s="367"/>
      <c r="I4" s="369"/>
      <c r="J4" s="369"/>
      <c r="K4" s="369"/>
      <c r="L4" s="367"/>
    </row>
    <row r="5" spans="1:12" ht="17.25">
      <c r="A5" s="373" t="s">
        <v>654</v>
      </c>
      <c r="B5" s="366"/>
      <c r="C5" s="367"/>
      <c r="D5" s="166"/>
      <c r="E5" s="367"/>
      <c r="F5" s="367"/>
      <c r="G5" s="368"/>
      <c r="H5" s="367"/>
      <c r="I5" s="369"/>
      <c r="J5" s="369"/>
      <c r="K5" s="369"/>
      <c r="L5" s="367"/>
    </row>
    <row r="6" spans="1:12" ht="13.5">
      <c r="A6" s="367"/>
      <c r="B6" s="367"/>
      <c r="C6" s="367"/>
      <c r="D6" s="166"/>
      <c r="E6" s="367"/>
      <c r="F6" s="367"/>
      <c r="G6" s="368"/>
      <c r="H6" s="367"/>
      <c r="I6" s="369"/>
      <c r="J6" s="369"/>
      <c r="K6" s="369"/>
      <c r="L6" s="367"/>
    </row>
    <row r="7" spans="1:17" ht="56.25" customHeight="1">
      <c r="A7" s="373" t="s">
        <v>1068</v>
      </c>
      <c r="B7" s="370" t="s">
        <v>567</v>
      </c>
      <c r="C7" s="160" t="s">
        <v>568</v>
      </c>
      <c r="D7" s="167" t="s">
        <v>566</v>
      </c>
      <c r="E7" s="371" t="s">
        <v>372</v>
      </c>
      <c r="F7" s="170" t="s">
        <v>825</v>
      </c>
      <c r="G7" s="241" t="s">
        <v>921</v>
      </c>
      <c r="H7" s="170" t="s">
        <v>965</v>
      </c>
      <c r="I7" s="664" t="s">
        <v>1281</v>
      </c>
      <c r="J7" s="664" t="s">
        <v>1280</v>
      </c>
      <c r="K7" s="664" t="s">
        <v>1512</v>
      </c>
      <c r="L7" s="371" t="s">
        <v>372</v>
      </c>
      <c r="O7" s="660" t="s">
        <v>1513</v>
      </c>
      <c r="P7" s="661" t="s">
        <v>1514</v>
      </c>
      <c r="Q7" s="661"/>
    </row>
    <row r="8" spans="1:16" ht="13.5">
      <c r="A8" s="368"/>
      <c r="B8" s="367"/>
      <c r="C8" s="160" t="s">
        <v>569</v>
      </c>
      <c r="D8" s="167" t="s">
        <v>569</v>
      </c>
      <c r="E8" s="371" t="s">
        <v>371</v>
      </c>
      <c r="F8" s="167" t="s">
        <v>569</v>
      </c>
      <c r="G8" s="161"/>
      <c r="H8" s="167"/>
      <c r="I8" s="372"/>
      <c r="J8" s="375" t="s">
        <v>366</v>
      </c>
      <c r="K8" s="375" t="s">
        <v>366</v>
      </c>
      <c r="L8" s="371"/>
      <c r="O8" s="375" t="s">
        <v>366</v>
      </c>
      <c r="P8" s="375" t="s">
        <v>366</v>
      </c>
    </row>
    <row r="9" spans="1:16" ht="13.5">
      <c r="A9" s="371" t="s">
        <v>991</v>
      </c>
      <c r="B9" s="373"/>
      <c r="C9" s="367"/>
      <c r="D9" s="166"/>
      <c r="E9" s="367"/>
      <c r="F9" s="367"/>
      <c r="G9" s="368"/>
      <c r="H9" s="374" t="s">
        <v>366</v>
      </c>
      <c r="I9" s="375" t="s">
        <v>366</v>
      </c>
      <c r="L9" s="727">
        <v>0</v>
      </c>
      <c r="M9" s="728"/>
      <c r="N9" s="728"/>
      <c r="O9" s="727">
        <v>0</v>
      </c>
      <c r="P9" s="727">
        <v>0</v>
      </c>
    </row>
    <row r="10" spans="1:12" ht="13.5">
      <c r="A10" s="368"/>
      <c r="B10" s="367"/>
      <c r="C10" s="367"/>
      <c r="D10" s="166"/>
      <c r="E10" s="367"/>
      <c r="F10" s="367"/>
      <c r="G10" s="368"/>
      <c r="H10" s="367"/>
      <c r="I10" s="369"/>
      <c r="J10" s="369"/>
      <c r="K10" s="369"/>
      <c r="L10" s="367"/>
    </row>
    <row r="11" spans="1:12" ht="13.5">
      <c r="A11" s="160" t="s">
        <v>159</v>
      </c>
      <c r="B11" s="160"/>
      <c r="C11" s="367"/>
      <c r="D11" s="166"/>
      <c r="E11" s="367"/>
      <c r="F11" s="367"/>
      <c r="G11" s="368"/>
      <c r="H11" s="367"/>
      <c r="I11" s="369"/>
      <c r="J11" s="369"/>
      <c r="K11" s="369"/>
      <c r="L11" s="174"/>
    </row>
    <row r="12" spans="1:16" ht="13.5">
      <c r="A12" s="163" t="s">
        <v>1473</v>
      </c>
      <c r="B12" s="163">
        <v>1314</v>
      </c>
      <c r="C12" s="165">
        <v>665.5</v>
      </c>
      <c r="D12" s="166">
        <v>732.0500000000001</v>
      </c>
      <c r="E12" s="377">
        <v>0.1000000000000001</v>
      </c>
      <c r="F12" s="378">
        <v>846</v>
      </c>
      <c r="G12" s="81">
        <f aca="true" t="shared" si="0" ref="G12:H22">F12*1.06</f>
        <v>896.76</v>
      </c>
      <c r="H12" s="273">
        <f t="shared" si="0"/>
        <v>950.5656</v>
      </c>
      <c r="I12" s="273">
        <v>1007.5995360000001</v>
      </c>
      <c r="J12" s="273">
        <v>1068.05550816</v>
      </c>
      <c r="K12" s="273">
        <f>(J12*L12)+J12</f>
        <v>1068.05550816</v>
      </c>
      <c r="L12" s="379">
        <f aca="true" t="shared" si="1" ref="L12:L43">$L$9</f>
        <v>0</v>
      </c>
      <c r="O12" s="273">
        <f>(K12*$O$9)+K12</f>
        <v>1068.05550816</v>
      </c>
      <c r="P12" s="273">
        <f>(O12*$P$9)+O12</f>
        <v>1068.05550816</v>
      </c>
    </row>
    <row r="13" spans="1:16" ht="13.5">
      <c r="A13" s="174" t="s">
        <v>1474</v>
      </c>
      <c r="B13" s="163">
        <v>1314</v>
      </c>
      <c r="C13" s="380">
        <v>968</v>
      </c>
      <c r="D13" s="166">
        <v>1064.8000000000002</v>
      </c>
      <c r="E13" s="377">
        <v>0.10000000000000019</v>
      </c>
      <c r="F13" s="378">
        <v>1230</v>
      </c>
      <c r="G13" s="81">
        <f t="shared" si="0"/>
        <v>1303.8</v>
      </c>
      <c r="H13" s="273">
        <f t="shared" si="0"/>
        <v>1382.028</v>
      </c>
      <c r="I13" s="273">
        <v>1464.94968</v>
      </c>
      <c r="J13" s="273">
        <v>1552.8466607999999</v>
      </c>
      <c r="K13" s="273">
        <f aca="true" t="shared" si="2" ref="K13:K81">(J13*L13)+J13</f>
        <v>1552.8466607999999</v>
      </c>
      <c r="L13" s="379">
        <f t="shared" si="1"/>
        <v>0</v>
      </c>
      <c r="O13" s="273">
        <f aca="true" t="shared" si="3" ref="O13:O22">(K13*$O$9)+K13</f>
        <v>1552.8466607999999</v>
      </c>
      <c r="P13" s="273">
        <f aca="true" t="shared" si="4" ref="P13:P67">(O13*$P$9)+O13</f>
        <v>1552.8466607999999</v>
      </c>
    </row>
    <row r="14" spans="1:16" ht="27">
      <c r="A14" s="163" t="s">
        <v>1475</v>
      </c>
      <c r="B14" s="163">
        <v>1314</v>
      </c>
      <c r="C14" s="165">
        <v>423.5</v>
      </c>
      <c r="D14" s="166">
        <v>465.85</v>
      </c>
      <c r="E14" s="377">
        <v>0.10000000000000005</v>
      </c>
      <c r="F14" s="378">
        <v>538</v>
      </c>
      <c r="G14" s="81">
        <f t="shared" si="0"/>
        <v>570.28</v>
      </c>
      <c r="H14" s="273">
        <f t="shared" si="0"/>
        <v>604.4968</v>
      </c>
      <c r="I14" s="273">
        <v>640.766608</v>
      </c>
      <c r="J14" s="273">
        <v>679.21260448</v>
      </c>
      <c r="K14" s="273">
        <f t="shared" si="2"/>
        <v>679.21260448</v>
      </c>
      <c r="L14" s="379">
        <f t="shared" si="1"/>
        <v>0</v>
      </c>
      <c r="O14" s="273">
        <f t="shared" si="3"/>
        <v>679.21260448</v>
      </c>
      <c r="P14" s="273">
        <f t="shared" si="4"/>
        <v>679.21260448</v>
      </c>
    </row>
    <row r="15" spans="1:16" ht="13.5">
      <c r="A15" s="163" t="s">
        <v>1476</v>
      </c>
      <c r="B15" s="163">
        <v>1314</v>
      </c>
      <c r="C15" s="380">
        <v>363</v>
      </c>
      <c r="D15" s="166">
        <v>399.3</v>
      </c>
      <c r="E15" s="377">
        <v>0.10000000000000003</v>
      </c>
      <c r="F15" s="378">
        <v>461</v>
      </c>
      <c r="G15" s="81">
        <f t="shared" si="0"/>
        <v>488.66</v>
      </c>
      <c r="H15" s="273">
        <f t="shared" si="0"/>
        <v>517.9796</v>
      </c>
      <c r="I15" s="273">
        <v>549.058376</v>
      </c>
      <c r="J15" s="273">
        <v>582.0018785599999</v>
      </c>
      <c r="K15" s="273">
        <f t="shared" si="2"/>
        <v>582.0018785599999</v>
      </c>
      <c r="L15" s="379">
        <f t="shared" si="1"/>
        <v>0</v>
      </c>
      <c r="O15" s="273">
        <f t="shared" si="3"/>
        <v>582.0018785599999</v>
      </c>
      <c r="P15" s="273">
        <f t="shared" si="4"/>
        <v>582.0018785599999</v>
      </c>
    </row>
    <row r="16" spans="1:16" ht="13.5">
      <c r="A16" s="163" t="s">
        <v>1477</v>
      </c>
      <c r="B16" s="163">
        <v>1314</v>
      </c>
      <c r="C16" s="380">
        <v>423.5</v>
      </c>
      <c r="D16" s="166">
        <v>465.85</v>
      </c>
      <c r="E16" s="377">
        <v>0.10000000000000005</v>
      </c>
      <c r="F16" s="378">
        <v>538</v>
      </c>
      <c r="G16" s="81">
        <f t="shared" si="0"/>
        <v>570.28</v>
      </c>
      <c r="H16" s="273">
        <f t="shared" si="0"/>
        <v>604.4968</v>
      </c>
      <c r="I16" s="273">
        <v>640.766608</v>
      </c>
      <c r="J16" s="273">
        <v>679.21260448</v>
      </c>
      <c r="K16" s="273">
        <f t="shared" si="2"/>
        <v>679.21260448</v>
      </c>
      <c r="L16" s="379">
        <f t="shared" si="1"/>
        <v>0</v>
      </c>
      <c r="O16" s="273">
        <f t="shared" si="3"/>
        <v>679.21260448</v>
      </c>
      <c r="P16" s="273">
        <f t="shared" si="4"/>
        <v>679.21260448</v>
      </c>
    </row>
    <row r="17" spans="1:16" ht="27">
      <c r="A17" s="163" t="s">
        <v>1478</v>
      </c>
      <c r="B17" s="163">
        <v>1314</v>
      </c>
      <c r="C17" s="381">
        <v>3581.6</v>
      </c>
      <c r="D17" s="166">
        <v>3939.76</v>
      </c>
      <c r="E17" s="377">
        <v>0.10000000000000009</v>
      </c>
      <c r="F17" s="378">
        <v>4553</v>
      </c>
      <c r="G17" s="81">
        <f t="shared" si="0"/>
        <v>4826.18</v>
      </c>
      <c r="H17" s="273">
        <f t="shared" si="0"/>
        <v>5115.750800000001</v>
      </c>
      <c r="I17" s="273">
        <v>5422.695848000001</v>
      </c>
      <c r="J17" s="273">
        <v>5748.057598880001</v>
      </c>
      <c r="K17" s="273">
        <f t="shared" si="2"/>
        <v>5748.057598880001</v>
      </c>
      <c r="L17" s="379">
        <f t="shared" si="1"/>
        <v>0</v>
      </c>
      <c r="O17" s="273">
        <f t="shared" si="3"/>
        <v>5748.057598880001</v>
      </c>
      <c r="P17" s="273">
        <f t="shared" si="4"/>
        <v>5748.057598880001</v>
      </c>
    </row>
    <row r="18" spans="1:16" ht="13.5">
      <c r="A18" s="163" t="s">
        <v>160</v>
      </c>
      <c r="B18" s="163">
        <v>1314</v>
      </c>
      <c r="C18" s="381">
        <v>1462.89</v>
      </c>
      <c r="D18" s="166">
        <v>1609.1790000000003</v>
      </c>
      <c r="E18" s="377">
        <v>0.10000000000000014</v>
      </c>
      <c r="F18" s="378">
        <v>1860</v>
      </c>
      <c r="G18" s="81">
        <f t="shared" si="0"/>
        <v>1971.6000000000001</v>
      </c>
      <c r="H18" s="273">
        <f t="shared" si="0"/>
        <v>2089.896</v>
      </c>
      <c r="I18" s="273">
        <v>2215.28976</v>
      </c>
      <c r="J18" s="273">
        <v>2348.2071456000003</v>
      </c>
      <c r="K18" s="273">
        <f t="shared" si="2"/>
        <v>2348.2071456000003</v>
      </c>
      <c r="L18" s="379">
        <f t="shared" si="1"/>
        <v>0</v>
      </c>
      <c r="O18" s="273">
        <f t="shared" si="3"/>
        <v>2348.2071456000003</v>
      </c>
      <c r="P18" s="273">
        <f t="shared" si="4"/>
        <v>2348.2071456000003</v>
      </c>
    </row>
    <row r="19" spans="1:16" ht="13.5">
      <c r="A19" s="163" t="s">
        <v>1479</v>
      </c>
      <c r="B19" s="163">
        <v>1314</v>
      </c>
      <c r="C19" s="163">
        <v>487.63</v>
      </c>
      <c r="D19" s="166">
        <v>536.393</v>
      </c>
      <c r="E19" s="377">
        <v>0.10000000000000007</v>
      </c>
      <c r="F19" s="378">
        <v>620</v>
      </c>
      <c r="G19" s="81">
        <f t="shared" si="0"/>
        <v>657.2</v>
      </c>
      <c r="H19" s="273">
        <f t="shared" si="0"/>
        <v>696.6320000000001</v>
      </c>
      <c r="I19" s="273">
        <v>738.42992</v>
      </c>
      <c r="J19" s="273">
        <v>782.7357152000001</v>
      </c>
      <c r="K19" s="273">
        <f t="shared" si="2"/>
        <v>782.7357152000001</v>
      </c>
      <c r="L19" s="379">
        <f t="shared" si="1"/>
        <v>0</v>
      </c>
      <c r="O19" s="273">
        <f t="shared" si="3"/>
        <v>782.7357152000001</v>
      </c>
      <c r="P19" s="273">
        <f t="shared" si="4"/>
        <v>782.7357152000001</v>
      </c>
    </row>
    <row r="20" spans="1:16" ht="27">
      <c r="A20" s="163" t="s">
        <v>1480</v>
      </c>
      <c r="B20" s="163">
        <v>1314</v>
      </c>
      <c r="C20" s="163">
        <v>335.17</v>
      </c>
      <c r="D20" s="166">
        <v>368.68700000000007</v>
      </c>
      <c r="E20" s="377">
        <v>0.10000000000000016</v>
      </c>
      <c r="F20" s="378">
        <v>426</v>
      </c>
      <c r="G20" s="81">
        <f t="shared" si="0"/>
        <v>451.56</v>
      </c>
      <c r="H20" s="273">
        <f t="shared" si="0"/>
        <v>478.65360000000004</v>
      </c>
      <c r="I20" s="273">
        <v>507.37281600000006</v>
      </c>
      <c r="J20" s="273">
        <v>537.81518496</v>
      </c>
      <c r="K20" s="273">
        <f t="shared" si="2"/>
        <v>537.81518496</v>
      </c>
      <c r="L20" s="379">
        <f t="shared" si="1"/>
        <v>0</v>
      </c>
      <c r="O20" s="273">
        <f t="shared" si="3"/>
        <v>537.81518496</v>
      </c>
      <c r="P20" s="273">
        <f t="shared" si="4"/>
        <v>537.81518496</v>
      </c>
    </row>
    <row r="21" spans="1:16" ht="13.5">
      <c r="A21" s="163" t="s">
        <v>418</v>
      </c>
      <c r="B21" s="163">
        <v>1314</v>
      </c>
      <c r="C21" s="381">
        <v>3049.2</v>
      </c>
      <c r="D21" s="166">
        <v>3354.12</v>
      </c>
      <c r="E21" s="377">
        <v>0.10000000000000003</v>
      </c>
      <c r="F21" s="378">
        <v>3876</v>
      </c>
      <c r="G21" s="81">
        <f t="shared" si="0"/>
        <v>4108.56</v>
      </c>
      <c r="H21" s="273">
        <f t="shared" si="0"/>
        <v>4355.073600000001</v>
      </c>
      <c r="I21" s="273">
        <v>4616.378016000001</v>
      </c>
      <c r="J21" s="273">
        <v>4893.3606969600005</v>
      </c>
      <c r="K21" s="273">
        <f t="shared" si="2"/>
        <v>4893.3606969600005</v>
      </c>
      <c r="L21" s="379">
        <f t="shared" si="1"/>
        <v>0</v>
      </c>
      <c r="O21" s="273">
        <f t="shared" si="3"/>
        <v>4893.3606969600005</v>
      </c>
      <c r="P21" s="273">
        <f t="shared" si="4"/>
        <v>4893.3606969600005</v>
      </c>
    </row>
    <row r="22" spans="1:16" ht="27">
      <c r="A22" s="163" t="s">
        <v>1481</v>
      </c>
      <c r="B22" s="163"/>
      <c r="C22" s="381">
        <v>1219.68</v>
      </c>
      <c r="D22" s="166">
        <v>1341.6480000000001</v>
      </c>
      <c r="E22" s="377">
        <v>0.10000000000000006</v>
      </c>
      <c r="F22" s="378">
        <v>1550</v>
      </c>
      <c r="G22" s="81">
        <f t="shared" si="0"/>
        <v>1643</v>
      </c>
      <c r="H22" s="273">
        <f t="shared" si="0"/>
        <v>1741.5800000000002</v>
      </c>
      <c r="I22" s="273">
        <v>1846.0748</v>
      </c>
      <c r="J22" s="273">
        <v>1956.8392880000001</v>
      </c>
      <c r="K22" s="273">
        <f t="shared" si="2"/>
        <v>1956.8392880000001</v>
      </c>
      <c r="L22" s="379">
        <f t="shared" si="1"/>
        <v>0</v>
      </c>
      <c r="O22" s="273">
        <f t="shared" si="3"/>
        <v>1956.8392880000001</v>
      </c>
      <c r="P22" s="273">
        <f t="shared" si="4"/>
        <v>1956.8392880000001</v>
      </c>
    </row>
    <row r="23" spans="1:16" ht="27">
      <c r="A23" s="160" t="s">
        <v>1482</v>
      </c>
      <c r="B23" s="163"/>
      <c r="C23" s="367"/>
      <c r="D23" s="166"/>
      <c r="E23" s="377"/>
      <c r="F23" s="382"/>
      <c r="G23" s="81"/>
      <c r="H23" s="273"/>
      <c r="I23" s="273"/>
      <c r="J23" s="273"/>
      <c r="K23" s="273"/>
      <c r="L23" s="379"/>
      <c r="O23" s="273"/>
      <c r="P23" s="273"/>
    </row>
    <row r="24" spans="1:16" ht="13.5">
      <c r="A24" s="383" t="s">
        <v>390</v>
      </c>
      <c r="B24" s="383">
        <v>1312</v>
      </c>
      <c r="C24" s="381">
        <v>6069.36</v>
      </c>
      <c r="D24" s="166">
        <v>6676.296</v>
      </c>
      <c r="E24" s="377">
        <v>0.1000000000000001</v>
      </c>
      <c r="F24" s="378">
        <v>7715</v>
      </c>
      <c r="G24" s="81">
        <f aca="true" t="shared" si="5" ref="G24:H27">F24*1.06</f>
        <v>8177.900000000001</v>
      </c>
      <c r="H24" s="273">
        <f t="shared" si="5"/>
        <v>8668.574</v>
      </c>
      <c r="I24" s="273">
        <v>9188.68844</v>
      </c>
      <c r="J24" s="273">
        <v>9740.0097464</v>
      </c>
      <c r="K24" s="273">
        <f t="shared" si="2"/>
        <v>9740.0097464</v>
      </c>
      <c r="L24" s="379">
        <f t="shared" si="1"/>
        <v>0</v>
      </c>
      <c r="O24" s="273">
        <f>(K24*$O$9)+K24</f>
        <v>9740.0097464</v>
      </c>
      <c r="P24" s="273">
        <f t="shared" si="4"/>
        <v>9740.0097464</v>
      </c>
    </row>
    <row r="25" spans="1:16" ht="13.5">
      <c r="A25" s="383" t="s">
        <v>391</v>
      </c>
      <c r="B25" s="383">
        <v>1312</v>
      </c>
      <c r="C25" s="381">
        <v>3736.48</v>
      </c>
      <c r="D25" s="166">
        <v>4110.128000000001</v>
      </c>
      <c r="E25" s="377">
        <v>0.10000000000000016</v>
      </c>
      <c r="F25" s="378">
        <v>4750</v>
      </c>
      <c r="G25" s="81">
        <f t="shared" si="5"/>
        <v>5035</v>
      </c>
      <c r="H25" s="273">
        <f t="shared" si="5"/>
        <v>5337.1</v>
      </c>
      <c r="I25" s="273">
        <v>5657.326</v>
      </c>
      <c r="J25" s="273">
        <v>5996.76556</v>
      </c>
      <c r="K25" s="273">
        <f t="shared" si="2"/>
        <v>5996.76556</v>
      </c>
      <c r="L25" s="379">
        <f t="shared" si="1"/>
        <v>0</v>
      </c>
      <c r="O25" s="273">
        <f>(K25*$O$9)+K25</f>
        <v>5996.76556</v>
      </c>
      <c r="P25" s="273">
        <f t="shared" si="4"/>
        <v>5996.76556</v>
      </c>
    </row>
    <row r="26" spans="1:16" ht="13.5">
      <c r="A26" s="383" t="s">
        <v>392</v>
      </c>
      <c r="B26" s="383">
        <v>1312</v>
      </c>
      <c r="C26" s="384">
        <v>3352.91</v>
      </c>
      <c r="D26" s="166">
        <v>3688.201</v>
      </c>
      <c r="E26" s="377">
        <v>0.10000000000000006</v>
      </c>
      <c r="F26" s="378">
        <v>4262</v>
      </c>
      <c r="G26" s="81">
        <f t="shared" si="5"/>
        <v>4517.72</v>
      </c>
      <c r="H26" s="273">
        <f t="shared" si="5"/>
        <v>4788.783200000001</v>
      </c>
      <c r="I26" s="273">
        <v>5076.110192000001</v>
      </c>
      <c r="J26" s="273">
        <v>5380.676803520001</v>
      </c>
      <c r="K26" s="273">
        <f t="shared" si="2"/>
        <v>5380.676803520001</v>
      </c>
      <c r="L26" s="379">
        <f t="shared" si="1"/>
        <v>0</v>
      </c>
      <c r="O26" s="273">
        <f>(K26*$O$9)+K26</f>
        <v>5380.676803520001</v>
      </c>
      <c r="P26" s="273">
        <f t="shared" si="4"/>
        <v>5380.676803520001</v>
      </c>
    </row>
    <row r="27" spans="1:16" ht="13.5">
      <c r="A27" s="383" t="s">
        <v>393</v>
      </c>
      <c r="B27" s="383">
        <v>1312</v>
      </c>
      <c r="C27" s="381">
        <v>3352.91</v>
      </c>
      <c r="D27" s="166">
        <v>3688.201</v>
      </c>
      <c r="E27" s="377">
        <v>0.10000000000000006</v>
      </c>
      <c r="F27" s="378">
        <v>4262</v>
      </c>
      <c r="G27" s="81">
        <f t="shared" si="5"/>
        <v>4517.72</v>
      </c>
      <c r="H27" s="273">
        <f t="shared" si="5"/>
        <v>4788.783200000001</v>
      </c>
      <c r="I27" s="273">
        <v>5076.110192000001</v>
      </c>
      <c r="J27" s="273">
        <v>5380.676803520001</v>
      </c>
      <c r="K27" s="273">
        <f t="shared" si="2"/>
        <v>5380.676803520001</v>
      </c>
      <c r="L27" s="379">
        <f t="shared" si="1"/>
        <v>0</v>
      </c>
      <c r="O27" s="273">
        <f>(K27*$O$9)+K27</f>
        <v>5380.676803520001</v>
      </c>
      <c r="P27" s="273">
        <f t="shared" si="4"/>
        <v>5380.676803520001</v>
      </c>
    </row>
    <row r="28" spans="1:16" ht="27">
      <c r="A28" s="160" t="s">
        <v>1483</v>
      </c>
      <c r="B28" s="163"/>
      <c r="C28" s="367"/>
      <c r="D28" s="166"/>
      <c r="E28" s="377"/>
      <c r="F28" s="382"/>
      <c r="G28" s="81"/>
      <c r="H28" s="273"/>
      <c r="I28" s="273"/>
      <c r="J28" s="273"/>
      <c r="K28" s="273"/>
      <c r="L28" s="379"/>
      <c r="O28" s="273"/>
      <c r="P28" s="273"/>
    </row>
    <row r="29" spans="1:16" ht="13.5">
      <c r="A29" s="383" t="s">
        <v>394</v>
      </c>
      <c r="B29" s="383">
        <v>1312</v>
      </c>
      <c r="C29" s="381">
        <v>1677.06</v>
      </c>
      <c r="D29" s="166">
        <v>1844.766</v>
      </c>
      <c r="E29" s="377">
        <v>0.10000000000000007</v>
      </c>
      <c r="F29" s="378">
        <v>2132</v>
      </c>
      <c r="G29" s="81">
        <f>F29*1.06</f>
        <v>2259.92</v>
      </c>
      <c r="H29" s="273">
        <f>G29*1.06</f>
        <v>2395.5152000000003</v>
      </c>
      <c r="I29" s="273">
        <v>2539.2461120000003</v>
      </c>
      <c r="J29" s="273">
        <v>2691.6008787200003</v>
      </c>
      <c r="K29" s="273">
        <f t="shared" si="2"/>
        <v>2691.6008787200003</v>
      </c>
      <c r="L29" s="379">
        <f t="shared" si="1"/>
        <v>0</v>
      </c>
      <c r="O29" s="273">
        <f>(K29*$O$9)+K29</f>
        <v>2691.6008787200003</v>
      </c>
      <c r="P29" s="273">
        <f t="shared" si="4"/>
        <v>2691.6008787200003</v>
      </c>
    </row>
    <row r="30" spans="1:16" ht="13.5">
      <c r="A30" s="383" t="s">
        <v>395</v>
      </c>
      <c r="B30" s="383">
        <v>1312</v>
      </c>
      <c r="C30" s="381">
        <v>5334.89</v>
      </c>
      <c r="D30" s="166">
        <v>5868.379000000001</v>
      </c>
      <c r="E30" s="377">
        <v>0.10000000000000009</v>
      </c>
      <c r="F30" s="378">
        <v>6781</v>
      </c>
      <c r="G30" s="81">
        <f>F30*1.06</f>
        <v>7187.860000000001</v>
      </c>
      <c r="H30" s="273">
        <f>G30*1.06</f>
        <v>7619.131600000001</v>
      </c>
      <c r="I30" s="273">
        <v>8076.279496000001</v>
      </c>
      <c r="J30" s="273">
        <v>8560.856265760001</v>
      </c>
      <c r="K30" s="273">
        <f t="shared" si="2"/>
        <v>8560.856265760001</v>
      </c>
      <c r="L30" s="379">
        <f t="shared" si="1"/>
        <v>0</v>
      </c>
      <c r="O30" s="273">
        <f>(K30*$O$9)+K30</f>
        <v>8560.856265760001</v>
      </c>
      <c r="P30" s="273">
        <f t="shared" si="4"/>
        <v>8560.856265760001</v>
      </c>
    </row>
    <row r="31" spans="1:16" ht="27">
      <c r="A31" s="160" t="s">
        <v>1507</v>
      </c>
      <c r="B31" s="163"/>
      <c r="C31" s="367"/>
      <c r="D31" s="166"/>
      <c r="E31" s="377"/>
      <c r="F31" s="382"/>
      <c r="G31" s="81"/>
      <c r="H31" s="273"/>
      <c r="I31" s="273"/>
      <c r="J31" s="273"/>
      <c r="K31" s="273"/>
      <c r="L31" s="379"/>
      <c r="O31" s="273"/>
      <c r="P31" s="273"/>
    </row>
    <row r="32" spans="1:16" ht="13.5">
      <c r="A32" s="383" t="s">
        <v>390</v>
      </c>
      <c r="B32" s="383">
        <v>1312</v>
      </c>
      <c r="C32" s="381">
        <v>6554.57</v>
      </c>
      <c r="D32" s="166">
        <v>7210.027</v>
      </c>
      <c r="E32" s="377">
        <v>0.10000000000000006</v>
      </c>
      <c r="F32" s="378">
        <v>8332</v>
      </c>
      <c r="G32" s="81">
        <f aca="true" t="shared" si="6" ref="G32:H47">F32*1.06</f>
        <v>8831.92</v>
      </c>
      <c r="H32" s="273">
        <f t="shared" si="6"/>
        <v>9361.835200000001</v>
      </c>
      <c r="I32" s="273">
        <v>9923.545312000002</v>
      </c>
      <c r="J32" s="273">
        <v>10518.958030720001</v>
      </c>
      <c r="K32" s="273">
        <f t="shared" si="2"/>
        <v>10518.958030720001</v>
      </c>
      <c r="L32" s="379">
        <f t="shared" si="1"/>
        <v>0</v>
      </c>
      <c r="O32" s="273">
        <f aca="true" t="shared" si="7" ref="O32:O49">(K32*$O$9)+K32</f>
        <v>10518.958030720001</v>
      </c>
      <c r="P32" s="273">
        <f t="shared" si="4"/>
        <v>10518.958030720001</v>
      </c>
    </row>
    <row r="33" spans="1:16" ht="13.5">
      <c r="A33" s="383" t="s">
        <v>396</v>
      </c>
      <c r="B33" s="383">
        <v>1312</v>
      </c>
      <c r="C33" s="381">
        <v>3734.06</v>
      </c>
      <c r="D33" s="166">
        <v>4107.466</v>
      </c>
      <c r="E33" s="377">
        <v>0.1000000000000001</v>
      </c>
      <c r="F33" s="378">
        <v>4747</v>
      </c>
      <c r="G33" s="81">
        <f t="shared" si="6"/>
        <v>5031.820000000001</v>
      </c>
      <c r="H33" s="273">
        <f t="shared" si="6"/>
        <v>5333.729200000001</v>
      </c>
      <c r="I33" s="273">
        <v>5653.752952000001</v>
      </c>
      <c r="J33" s="273">
        <v>5992.978129120001</v>
      </c>
      <c r="K33" s="273">
        <f t="shared" si="2"/>
        <v>5992.978129120001</v>
      </c>
      <c r="L33" s="379">
        <f t="shared" si="1"/>
        <v>0</v>
      </c>
      <c r="O33" s="273">
        <f t="shared" si="7"/>
        <v>5992.978129120001</v>
      </c>
      <c r="P33" s="273">
        <f t="shared" si="4"/>
        <v>5992.978129120001</v>
      </c>
    </row>
    <row r="34" spans="1:16" ht="13.5">
      <c r="A34" s="383" t="s">
        <v>397</v>
      </c>
      <c r="B34" s="383">
        <v>1312</v>
      </c>
      <c r="C34" s="165">
        <v>3352.91</v>
      </c>
      <c r="D34" s="166">
        <v>3688.201</v>
      </c>
      <c r="E34" s="377">
        <v>0.10000000000000006</v>
      </c>
      <c r="F34" s="378">
        <v>4262</v>
      </c>
      <c r="G34" s="81">
        <f t="shared" si="6"/>
        <v>4517.72</v>
      </c>
      <c r="H34" s="273">
        <f t="shared" si="6"/>
        <v>4788.783200000001</v>
      </c>
      <c r="I34" s="273">
        <v>5076.110192000001</v>
      </c>
      <c r="J34" s="273">
        <v>5380.676803520001</v>
      </c>
      <c r="K34" s="273">
        <f t="shared" si="2"/>
        <v>5380.676803520001</v>
      </c>
      <c r="L34" s="379">
        <f t="shared" si="1"/>
        <v>0</v>
      </c>
      <c r="O34" s="273">
        <f t="shared" si="7"/>
        <v>5380.676803520001</v>
      </c>
      <c r="P34" s="273">
        <f t="shared" si="4"/>
        <v>5380.676803520001</v>
      </c>
    </row>
    <row r="35" spans="1:16" ht="13.5">
      <c r="A35" s="383" t="s">
        <v>393</v>
      </c>
      <c r="B35" s="383">
        <v>1312</v>
      </c>
      <c r="C35" s="381">
        <v>3352.91</v>
      </c>
      <c r="D35" s="166">
        <v>3688.201</v>
      </c>
      <c r="E35" s="377">
        <v>0.10000000000000006</v>
      </c>
      <c r="F35" s="378">
        <v>4262</v>
      </c>
      <c r="G35" s="81">
        <f t="shared" si="6"/>
        <v>4517.72</v>
      </c>
      <c r="H35" s="273">
        <f t="shared" si="6"/>
        <v>4788.783200000001</v>
      </c>
      <c r="I35" s="273">
        <v>5076.110192000001</v>
      </c>
      <c r="J35" s="273">
        <v>5380.676803520001</v>
      </c>
      <c r="K35" s="273">
        <f t="shared" si="2"/>
        <v>5380.676803520001</v>
      </c>
      <c r="L35" s="379">
        <f t="shared" si="1"/>
        <v>0</v>
      </c>
      <c r="O35" s="273">
        <f t="shared" si="7"/>
        <v>5380.676803520001</v>
      </c>
      <c r="P35" s="273">
        <f t="shared" si="4"/>
        <v>5380.676803520001</v>
      </c>
    </row>
    <row r="36" spans="1:16" ht="27">
      <c r="A36" s="163" t="s">
        <v>1484</v>
      </c>
      <c r="B36" s="383">
        <v>1312</v>
      </c>
      <c r="C36" s="381">
        <v>1219.68</v>
      </c>
      <c r="D36" s="166">
        <v>1341.6480000000001</v>
      </c>
      <c r="E36" s="377">
        <v>0.10000000000000006</v>
      </c>
      <c r="F36" s="378">
        <v>1550</v>
      </c>
      <c r="G36" s="81">
        <f t="shared" si="6"/>
        <v>1643</v>
      </c>
      <c r="H36" s="273">
        <f t="shared" si="6"/>
        <v>1741.5800000000002</v>
      </c>
      <c r="I36" s="273">
        <v>1846.0748</v>
      </c>
      <c r="J36" s="273">
        <v>1956.8392880000001</v>
      </c>
      <c r="K36" s="273">
        <f t="shared" si="2"/>
        <v>1956.8392880000001</v>
      </c>
      <c r="L36" s="379">
        <f t="shared" si="1"/>
        <v>0</v>
      </c>
      <c r="O36" s="273">
        <f t="shared" si="7"/>
        <v>1956.8392880000001</v>
      </c>
      <c r="P36" s="273">
        <f t="shared" si="4"/>
        <v>1956.8392880000001</v>
      </c>
    </row>
    <row r="37" spans="1:16" ht="13.5">
      <c r="A37" s="163" t="s">
        <v>398</v>
      </c>
      <c r="B37" s="383">
        <v>1312</v>
      </c>
      <c r="C37" s="163">
        <v>335.17</v>
      </c>
      <c r="D37" s="166">
        <v>368.68700000000007</v>
      </c>
      <c r="E37" s="377">
        <v>0.10000000000000016</v>
      </c>
      <c r="F37" s="378">
        <v>426</v>
      </c>
      <c r="G37" s="81">
        <f t="shared" si="6"/>
        <v>451.56</v>
      </c>
      <c r="H37" s="273">
        <f t="shared" si="6"/>
        <v>478.65360000000004</v>
      </c>
      <c r="I37" s="273">
        <v>507.37281600000006</v>
      </c>
      <c r="J37" s="273">
        <v>537.81518496</v>
      </c>
      <c r="K37" s="273">
        <f t="shared" si="2"/>
        <v>537.81518496</v>
      </c>
      <c r="L37" s="379">
        <f t="shared" si="1"/>
        <v>0</v>
      </c>
      <c r="O37" s="273">
        <f t="shared" si="7"/>
        <v>537.81518496</v>
      </c>
      <c r="P37" s="273">
        <f t="shared" si="4"/>
        <v>537.81518496</v>
      </c>
    </row>
    <row r="38" spans="1:16" ht="13.5">
      <c r="A38" s="163" t="s">
        <v>161</v>
      </c>
      <c r="B38" s="163">
        <v>1314</v>
      </c>
      <c r="C38" s="163">
        <v>228.69</v>
      </c>
      <c r="D38" s="166">
        <v>251.55900000000003</v>
      </c>
      <c r="E38" s="377">
        <v>0.10000000000000013</v>
      </c>
      <c r="F38" s="378">
        <v>291</v>
      </c>
      <c r="G38" s="81">
        <f t="shared" si="6"/>
        <v>308.46000000000004</v>
      </c>
      <c r="H38" s="273">
        <f t="shared" si="6"/>
        <v>326.96760000000006</v>
      </c>
      <c r="I38" s="273">
        <v>346.5856560000001</v>
      </c>
      <c r="J38" s="273">
        <v>367.3807953600001</v>
      </c>
      <c r="K38" s="273">
        <f t="shared" si="2"/>
        <v>367.3807953600001</v>
      </c>
      <c r="L38" s="379">
        <f t="shared" si="1"/>
        <v>0</v>
      </c>
      <c r="O38" s="273">
        <f t="shared" si="7"/>
        <v>367.3807953600001</v>
      </c>
      <c r="P38" s="273">
        <f t="shared" si="4"/>
        <v>367.3807953600001</v>
      </c>
    </row>
    <row r="39" spans="1:16" ht="13.5">
      <c r="A39" s="163" t="s">
        <v>162</v>
      </c>
      <c r="B39" s="163">
        <v>1314</v>
      </c>
      <c r="C39" s="163">
        <v>274.67</v>
      </c>
      <c r="D39" s="166">
        <v>302.13700000000006</v>
      </c>
      <c r="E39" s="377">
        <v>0.10000000000000014</v>
      </c>
      <c r="F39" s="378">
        <v>349</v>
      </c>
      <c r="G39" s="81">
        <f t="shared" si="6"/>
        <v>369.94</v>
      </c>
      <c r="H39" s="273">
        <f t="shared" si="6"/>
        <v>392.13640000000004</v>
      </c>
      <c r="I39" s="273">
        <v>415.66458400000005</v>
      </c>
      <c r="J39" s="273">
        <v>440.60445904000005</v>
      </c>
      <c r="K39" s="273">
        <f t="shared" si="2"/>
        <v>440.60445904000005</v>
      </c>
      <c r="L39" s="379">
        <f t="shared" si="1"/>
        <v>0</v>
      </c>
      <c r="O39" s="273">
        <f t="shared" si="7"/>
        <v>440.60445904000005</v>
      </c>
      <c r="P39" s="273">
        <f t="shared" si="4"/>
        <v>440.60445904000005</v>
      </c>
    </row>
    <row r="40" spans="1:16" ht="27">
      <c r="A40" s="163" t="s">
        <v>163</v>
      </c>
      <c r="B40" s="163">
        <v>1314</v>
      </c>
      <c r="C40" s="163">
        <v>228.69</v>
      </c>
      <c r="D40" s="166">
        <v>251.55900000000003</v>
      </c>
      <c r="E40" s="377">
        <v>0.10000000000000013</v>
      </c>
      <c r="F40" s="378">
        <v>291</v>
      </c>
      <c r="G40" s="81">
        <f t="shared" si="6"/>
        <v>308.46000000000004</v>
      </c>
      <c r="H40" s="273">
        <f t="shared" si="6"/>
        <v>326.96760000000006</v>
      </c>
      <c r="I40" s="273">
        <v>346.5856560000001</v>
      </c>
      <c r="J40" s="273">
        <v>367.3807953600001</v>
      </c>
      <c r="K40" s="273">
        <f t="shared" si="2"/>
        <v>367.3807953600001</v>
      </c>
      <c r="L40" s="379">
        <f t="shared" si="1"/>
        <v>0</v>
      </c>
      <c r="O40" s="273">
        <f t="shared" si="7"/>
        <v>367.3807953600001</v>
      </c>
      <c r="P40" s="273">
        <f t="shared" si="4"/>
        <v>367.3807953600001</v>
      </c>
    </row>
    <row r="41" spans="1:16" ht="13.5">
      <c r="A41" s="163" t="s">
        <v>1485</v>
      </c>
      <c r="B41" s="163">
        <v>1314</v>
      </c>
      <c r="C41" s="163">
        <v>168.19</v>
      </c>
      <c r="D41" s="166">
        <v>185.00900000000001</v>
      </c>
      <c r="E41" s="377">
        <v>0.1000000000000001</v>
      </c>
      <c r="F41" s="378">
        <v>214</v>
      </c>
      <c r="G41" s="81">
        <f t="shared" si="6"/>
        <v>226.84</v>
      </c>
      <c r="H41" s="273">
        <f t="shared" si="6"/>
        <v>240.4504</v>
      </c>
      <c r="I41" s="273">
        <v>254.877424</v>
      </c>
      <c r="J41" s="273">
        <v>270.17006943999996</v>
      </c>
      <c r="K41" s="273">
        <f t="shared" si="2"/>
        <v>270.17006943999996</v>
      </c>
      <c r="L41" s="379">
        <f t="shared" si="1"/>
        <v>0</v>
      </c>
      <c r="O41" s="273">
        <f t="shared" si="7"/>
        <v>270.17006943999996</v>
      </c>
      <c r="P41" s="273">
        <f t="shared" si="4"/>
        <v>270.17006943999996</v>
      </c>
    </row>
    <row r="42" spans="1:16" ht="27">
      <c r="A42" s="163" t="s">
        <v>1486</v>
      </c>
      <c r="B42" s="163">
        <v>1314</v>
      </c>
      <c r="C42" s="163">
        <v>914.76</v>
      </c>
      <c r="D42" s="166">
        <v>1006.2360000000001</v>
      </c>
      <c r="E42" s="377">
        <v>0.10000000000000013</v>
      </c>
      <c r="F42" s="378">
        <v>1163</v>
      </c>
      <c r="G42" s="81">
        <f t="shared" si="6"/>
        <v>1232.78</v>
      </c>
      <c r="H42" s="273">
        <f t="shared" si="6"/>
        <v>1306.7468000000001</v>
      </c>
      <c r="I42" s="273">
        <v>1385.1516080000001</v>
      </c>
      <c r="J42" s="273">
        <v>1468.2607044800002</v>
      </c>
      <c r="K42" s="273">
        <f t="shared" si="2"/>
        <v>1468.2607044800002</v>
      </c>
      <c r="L42" s="379">
        <f t="shared" si="1"/>
        <v>0</v>
      </c>
      <c r="O42" s="273">
        <f t="shared" si="7"/>
        <v>1468.2607044800002</v>
      </c>
      <c r="P42" s="273">
        <f t="shared" si="4"/>
        <v>1468.2607044800002</v>
      </c>
    </row>
    <row r="43" spans="1:16" ht="27">
      <c r="A43" s="163" t="s">
        <v>1487</v>
      </c>
      <c r="B43" s="163">
        <v>1314</v>
      </c>
      <c r="C43" s="381">
        <v>3047.99</v>
      </c>
      <c r="D43" s="166">
        <v>3352.789</v>
      </c>
      <c r="E43" s="377">
        <v>0.10000000000000014</v>
      </c>
      <c r="F43" s="378">
        <v>3874</v>
      </c>
      <c r="G43" s="81">
        <f t="shared" si="6"/>
        <v>4106.4400000000005</v>
      </c>
      <c r="H43" s="273">
        <f t="shared" si="6"/>
        <v>4352.826400000001</v>
      </c>
      <c r="I43" s="273">
        <v>4613.995984000001</v>
      </c>
      <c r="J43" s="273">
        <v>4890.835743040001</v>
      </c>
      <c r="K43" s="273">
        <f t="shared" si="2"/>
        <v>4890.835743040001</v>
      </c>
      <c r="L43" s="379">
        <f t="shared" si="1"/>
        <v>0</v>
      </c>
      <c r="O43" s="273">
        <f t="shared" si="7"/>
        <v>4890.835743040001</v>
      </c>
      <c r="P43" s="273">
        <f t="shared" si="4"/>
        <v>4890.835743040001</v>
      </c>
    </row>
    <row r="44" spans="1:16" ht="13.5">
      <c r="A44" s="163" t="s">
        <v>1488</v>
      </c>
      <c r="B44" s="163">
        <v>1314</v>
      </c>
      <c r="C44" s="163">
        <v>404.14</v>
      </c>
      <c r="D44" s="166">
        <v>444.55400000000003</v>
      </c>
      <c r="E44" s="377">
        <v>0.10000000000000012</v>
      </c>
      <c r="F44" s="378">
        <v>514</v>
      </c>
      <c r="G44" s="81">
        <f t="shared" si="6"/>
        <v>544.84</v>
      </c>
      <c r="H44" s="273">
        <f t="shared" si="6"/>
        <v>577.5304000000001</v>
      </c>
      <c r="I44" s="273">
        <v>612.1822240000001</v>
      </c>
      <c r="J44" s="273">
        <v>648.9131574400002</v>
      </c>
      <c r="K44" s="273">
        <f t="shared" si="2"/>
        <v>648.9131574400002</v>
      </c>
      <c r="L44" s="379">
        <f aca="true" t="shared" si="8" ref="L44:L80">$L$9</f>
        <v>0</v>
      </c>
      <c r="O44" s="273">
        <f t="shared" si="7"/>
        <v>648.9131574400002</v>
      </c>
      <c r="P44" s="273">
        <f t="shared" si="4"/>
        <v>648.9131574400002</v>
      </c>
    </row>
    <row r="45" spans="1:16" ht="13.5">
      <c r="A45" s="163" t="s">
        <v>1489</v>
      </c>
      <c r="B45" s="163">
        <v>1314</v>
      </c>
      <c r="C45" s="163">
        <v>244.42</v>
      </c>
      <c r="D45" s="166">
        <v>268.862</v>
      </c>
      <c r="E45" s="377">
        <v>0.10000000000000014</v>
      </c>
      <c r="F45" s="378">
        <v>311</v>
      </c>
      <c r="G45" s="81">
        <f t="shared" si="6"/>
        <v>329.66</v>
      </c>
      <c r="H45" s="273">
        <f t="shared" si="6"/>
        <v>349.43960000000004</v>
      </c>
      <c r="I45" s="273">
        <v>370.40597600000007</v>
      </c>
      <c r="J45" s="273">
        <v>392.63033456000005</v>
      </c>
      <c r="K45" s="273">
        <f t="shared" si="2"/>
        <v>392.63033456000005</v>
      </c>
      <c r="L45" s="379">
        <f t="shared" si="8"/>
        <v>0</v>
      </c>
      <c r="O45" s="273">
        <f t="shared" si="7"/>
        <v>392.63033456000005</v>
      </c>
      <c r="P45" s="273">
        <f t="shared" si="4"/>
        <v>392.63033456000005</v>
      </c>
    </row>
    <row r="46" spans="1:16" ht="13.5">
      <c r="A46" s="163" t="s">
        <v>1490</v>
      </c>
      <c r="B46" s="163">
        <v>1314</v>
      </c>
      <c r="C46" s="163">
        <v>129.47</v>
      </c>
      <c r="D46" s="166">
        <v>142.417</v>
      </c>
      <c r="E46" s="377">
        <v>0.10000000000000002</v>
      </c>
      <c r="F46" s="378">
        <v>165</v>
      </c>
      <c r="G46" s="81">
        <f t="shared" si="6"/>
        <v>174.9</v>
      </c>
      <c r="H46" s="273">
        <f t="shared" si="6"/>
        <v>185.394</v>
      </c>
      <c r="I46" s="273">
        <v>196.51764</v>
      </c>
      <c r="J46" s="273">
        <v>208.3086984</v>
      </c>
      <c r="K46" s="273">
        <f t="shared" si="2"/>
        <v>208.3086984</v>
      </c>
      <c r="L46" s="379">
        <f t="shared" si="8"/>
        <v>0</v>
      </c>
      <c r="O46" s="273">
        <f t="shared" si="7"/>
        <v>208.3086984</v>
      </c>
      <c r="P46" s="273">
        <f t="shared" si="4"/>
        <v>208.3086984</v>
      </c>
    </row>
    <row r="47" spans="1:16" ht="13.5">
      <c r="A47" s="163" t="s">
        <v>1491</v>
      </c>
      <c r="B47" s="163">
        <v>1314</v>
      </c>
      <c r="C47" s="163">
        <v>198.44</v>
      </c>
      <c r="D47" s="166">
        <v>218.28400000000002</v>
      </c>
      <c r="E47" s="377">
        <v>0.10000000000000012</v>
      </c>
      <c r="F47" s="378">
        <v>252</v>
      </c>
      <c r="G47" s="81">
        <f t="shared" si="6"/>
        <v>267.12</v>
      </c>
      <c r="H47" s="273">
        <f t="shared" si="6"/>
        <v>283.1472</v>
      </c>
      <c r="I47" s="273">
        <v>300.136032</v>
      </c>
      <c r="J47" s="273">
        <v>318.14419392</v>
      </c>
      <c r="K47" s="273">
        <f t="shared" si="2"/>
        <v>318.14419392</v>
      </c>
      <c r="L47" s="379">
        <f t="shared" si="8"/>
        <v>0</v>
      </c>
      <c r="O47" s="273">
        <f t="shared" si="7"/>
        <v>318.14419392</v>
      </c>
      <c r="P47" s="273">
        <f t="shared" si="4"/>
        <v>318.14419392</v>
      </c>
    </row>
    <row r="48" spans="1:16" ht="13.5">
      <c r="A48" s="163" t="s">
        <v>1492</v>
      </c>
      <c r="B48" s="163">
        <v>1314</v>
      </c>
      <c r="C48" s="163">
        <v>168.19</v>
      </c>
      <c r="D48" s="166">
        <v>185.00900000000001</v>
      </c>
      <c r="E48" s="377">
        <v>0.1000000000000001</v>
      </c>
      <c r="F48" s="378">
        <v>214</v>
      </c>
      <c r="G48" s="81">
        <f>F48*1.06</f>
        <v>226.84</v>
      </c>
      <c r="H48" s="273">
        <f>G48*1.06</f>
        <v>240.4504</v>
      </c>
      <c r="I48" s="273">
        <v>254.877424</v>
      </c>
      <c r="J48" s="273">
        <v>270.17006943999996</v>
      </c>
      <c r="K48" s="273">
        <f t="shared" si="2"/>
        <v>270.17006943999996</v>
      </c>
      <c r="L48" s="379">
        <f t="shared" si="8"/>
        <v>0</v>
      </c>
      <c r="O48" s="273">
        <f t="shared" si="7"/>
        <v>270.17006943999996</v>
      </c>
      <c r="P48" s="273">
        <f t="shared" si="4"/>
        <v>270.17006943999996</v>
      </c>
    </row>
    <row r="49" spans="1:16" ht="13.5">
      <c r="A49" s="163" t="s">
        <v>164</v>
      </c>
      <c r="B49" s="163">
        <v>1314</v>
      </c>
      <c r="C49" s="163">
        <v>45.98</v>
      </c>
      <c r="D49" s="166">
        <v>50.578</v>
      </c>
      <c r="E49" s="377">
        <v>0.10000000000000014</v>
      </c>
      <c r="F49" s="378">
        <v>58</v>
      </c>
      <c r="G49" s="81">
        <f>F49*1.06</f>
        <v>61.480000000000004</v>
      </c>
      <c r="H49" s="273">
        <f>G49*1.06</f>
        <v>65.1688</v>
      </c>
      <c r="I49" s="273">
        <v>69.078928</v>
      </c>
      <c r="J49" s="273">
        <v>73.22366368</v>
      </c>
      <c r="K49" s="273">
        <f t="shared" si="2"/>
        <v>73.22366368</v>
      </c>
      <c r="L49" s="379">
        <f t="shared" si="8"/>
        <v>0</v>
      </c>
      <c r="O49" s="273">
        <f t="shared" si="7"/>
        <v>73.22366368</v>
      </c>
      <c r="P49" s="273">
        <f t="shared" si="4"/>
        <v>73.22366368</v>
      </c>
    </row>
    <row r="50" spans="1:16" ht="13.5">
      <c r="A50" s="160" t="s">
        <v>165</v>
      </c>
      <c r="B50" s="163">
        <v>1314</v>
      </c>
      <c r="C50" s="367"/>
      <c r="D50" s="166">
        <v>0</v>
      </c>
      <c r="E50" s="377"/>
      <c r="F50" s="382"/>
      <c r="G50" s="81"/>
      <c r="H50" s="273"/>
      <c r="I50" s="273"/>
      <c r="J50" s="273"/>
      <c r="K50" s="273"/>
      <c r="L50" s="379"/>
      <c r="O50" s="273"/>
      <c r="P50" s="273"/>
    </row>
    <row r="51" spans="1:16" ht="13.5">
      <c r="A51" s="163" t="s">
        <v>399</v>
      </c>
      <c r="B51" s="163">
        <v>1314</v>
      </c>
      <c r="C51" s="163">
        <v>838.53</v>
      </c>
      <c r="D51" s="166">
        <v>922.383</v>
      </c>
      <c r="E51" s="377">
        <v>0.10000000000000007</v>
      </c>
      <c r="F51" s="378">
        <v>1066</v>
      </c>
      <c r="G51" s="81">
        <f aca="true" t="shared" si="9" ref="G51:H59">F51*1.06</f>
        <v>1129.96</v>
      </c>
      <c r="H51" s="273">
        <f t="shared" si="9"/>
        <v>1197.7576000000001</v>
      </c>
      <c r="I51" s="273">
        <v>1269.6230560000001</v>
      </c>
      <c r="J51" s="273">
        <v>1345.8004393600002</v>
      </c>
      <c r="K51" s="273">
        <f t="shared" si="2"/>
        <v>1345.8004393600002</v>
      </c>
      <c r="L51" s="379">
        <f t="shared" si="8"/>
        <v>0</v>
      </c>
      <c r="O51" s="273">
        <f aca="true" t="shared" si="10" ref="O51:O67">(K51*$O$9)+K51</f>
        <v>1345.8004393600002</v>
      </c>
      <c r="P51" s="273">
        <f t="shared" si="4"/>
        <v>1345.8004393600002</v>
      </c>
    </row>
    <row r="52" spans="1:16" ht="13.5">
      <c r="A52" s="163" t="s">
        <v>400</v>
      </c>
      <c r="B52" s="163">
        <v>1314</v>
      </c>
      <c r="C52" s="381">
        <v>1677.06</v>
      </c>
      <c r="D52" s="166">
        <v>1844.766</v>
      </c>
      <c r="E52" s="377">
        <v>0.10000000000000007</v>
      </c>
      <c r="F52" s="378">
        <v>2132</v>
      </c>
      <c r="G52" s="81">
        <f t="shared" si="9"/>
        <v>2259.92</v>
      </c>
      <c r="H52" s="273">
        <f t="shared" si="9"/>
        <v>2395.5152000000003</v>
      </c>
      <c r="I52" s="273">
        <v>2539.2461120000003</v>
      </c>
      <c r="J52" s="273">
        <v>2691.6008787200003</v>
      </c>
      <c r="K52" s="273">
        <f t="shared" si="2"/>
        <v>2691.6008787200003</v>
      </c>
      <c r="L52" s="379">
        <f t="shared" si="8"/>
        <v>0</v>
      </c>
      <c r="O52" s="273">
        <f t="shared" si="10"/>
        <v>2691.6008787200003</v>
      </c>
      <c r="P52" s="273">
        <f t="shared" si="4"/>
        <v>2691.6008787200003</v>
      </c>
    </row>
    <row r="53" spans="1:16" ht="13.5">
      <c r="A53" s="163" t="s">
        <v>401</v>
      </c>
      <c r="B53" s="163">
        <v>1314</v>
      </c>
      <c r="C53" s="381">
        <v>2439.36</v>
      </c>
      <c r="D53" s="166">
        <v>2683.2960000000003</v>
      </c>
      <c r="E53" s="377">
        <v>0.10000000000000006</v>
      </c>
      <c r="F53" s="378">
        <v>3101</v>
      </c>
      <c r="G53" s="81">
        <f t="shared" si="9"/>
        <v>3287.06</v>
      </c>
      <c r="H53" s="273">
        <f t="shared" si="9"/>
        <v>3484.2836</v>
      </c>
      <c r="I53" s="273">
        <v>3693.3406160000004</v>
      </c>
      <c r="J53" s="273">
        <v>3914.9410529600004</v>
      </c>
      <c r="K53" s="273">
        <f t="shared" si="2"/>
        <v>3914.9410529600004</v>
      </c>
      <c r="L53" s="379">
        <f t="shared" si="8"/>
        <v>0</v>
      </c>
      <c r="O53" s="273">
        <f t="shared" si="10"/>
        <v>3914.9410529600004</v>
      </c>
      <c r="P53" s="273">
        <f t="shared" si="4"/>
        <v>3914.9410529600004</v>
      </c>
    </row>
    <row r="54" spans="1:16" ht="13.5">
      <c r="A54" s="163" t="s">
        <v>1493</v>
      </c>
      <c r="B54" s="163">
        <v>1310</v>
      </c>
      <c r="C54" s="381">
        <v>3352.91</v>
      </c>
      <c r="D54" s="166">
        <v>3688.201</v>
      </c>
      <c r="E54" s="377">
        <v>0.10000000000000006</v>
      </c>
      <c r="F54" s="378">
        <v>4262</v>
      </c>
      <c r="G54" s="81">
        <f t="shared" si="9"/>
        <v>4517.72</v>
      </c>
      <c r="H54" s="273">
        <f t="shared" si="9"/>
        <v>4788.783200000001</v>
      </c>
      <c r="I54" s="273">
        <v>5076.110192000001</v>
      </c>
      <c r="J54" s="273">
        <v>5380.676803520001</v>
      </c>
      <c r="K54" s="273">
        <f t="shared" si="2"/>
        <v>5380.676803520001</v>
      </c>
      <c r="L54" s="379">
        <f t="shared" si="8"/>
        <v>0</v>
      </c>
      <c r="O54" s="273">
        <f t="shared" si="10"/>
        <v>5380.676803520001</v>
      </c>
      <c r="P54" s="273">
        <f t="shared" si="4"/>
        <v>5380.676803520001</v>
      </c>
    </row>
    <row r="55" spans="1:16" ht="27">
      <c r="A55" s="163" t="s">
        <v>1494</v>
      </c>
      <c r="B55" s="163">
        <v>1310</v>
      </c>
      <c r="C55" s="163">
        <v>3276.68</v>
      </c>
      <c r="D55" s="165">
        <v>3604.348</v>
      </c>
      <c r="E55" s="377">
        <v>0.10000000000000005</v>
      </c>
      <c r="F55" s="378">
        <v>4165</v>
      </c>
      <c r="G55" s="81">
        <f t="shared" si="9"/>
        <v>4414.900000000001</v>
      </c>
      <c r="H55" s="273">
        <f t="shared" si="9"/>
        <v>4679.794000000001</v>
      </c>
      <c r="I55" s="273">
        <v>4960.58164</v>
      </c>
      <c r="J55" s="273">
        <v>5258.2165384</v>
      </c>
      <c r="K55" s="273">
        <f t="shared" si="2"/>
        <v>5258.2165384</v>
      </c>
      <c r="L55" s="379">
        <f t="shared" si="8"/>
        <v>0</v>
      </c>
      <c r="O55" s="273">
        <f t="shared" si="10"/>
        <v>5258.2165384</v>
      </c>
      <c r="P55" s="273">
        <f t="shared" si="4"/>
        <v>5258.2165384</v>
      </c>
    </row>
    <row r="56" spans="1:16" ht="27">
      <c r="A56" s="163" t="s">
        <v>1495</v>
      </c>
      <c r="B56" s="163">
        <v>1310</v>
      </c>
      <c r="C56" s="381">
        <v>335.17</v>
      </c>
      <c r="D56" s="166">
        <v>368.68700000000007</v>
      </c>
      <c r="E56" s="377">
        <v>0.10000000000000016</v>
      </c>
      <c r="F56" s="378">
        <v>426</v>
      </c>
      <c r="G56" s="81">
        <f t="shared" si="9"/>
        <v>451.56</v>
      </c>
      <c r="H56" s="273">
        <f t="shared" si="9"/>
        <v>478.65360000000004</v>
      </c>
      <c r="I56" s="273">
        <v>507.37281600000006</v>
      </c>
      <c r="J56" s="273">
        <v>537.81518496</v>
      </c>
      <c r="K56" s="273">
        <f t="shared" si="2"/>
        <v>537.81518496</v>
      </c>
      <c r="L56" s="379">
        <f t="shared" si="8"/>
        <v>0</v>
      </c>
      <c r="O56" s="273">
        <f t="shared" si="10"/>
        <v>537.81518496</v>
      </c>
      <c r="P56" s="273">
        <f t="shared" si="4"/>
        <v>537.81518496</v>
      </c>
    </row>
    <row r="57" spans="1:16" ht="27">
      <c r="A57" s="163" t="s">
        <v>166</v>
      </c>
      <c r="B57" s="163">
        <v>1310</v>
      </c>
      <c r="C57" s="381">
        <v>335.17</v>
      </c>
      <c r="D57" s="166">
        <v>368.68700000000007</v>
      </c>
      <c r="E57" s="377">
        <v>0.10000000000000016</v>
      </c>
      <c r="F57" s="378">
        <v>426</v>
      </c>
      <c r="G57" s="81">
        <f t="shared" si="9"/>
        <v>451.56</v>
      </c>
      <c r="H57" s="273">
        <f t="shared" si="9"/>
        <v>478.65360000000004</v>
      </c>
      <c r="I57" s="273">
        <v>507.37281600000006</v>
      </c>
      <c r="J57" s="273">
        <v>537.81518496</v>
      </c>
      <c r="K57" s="273">
        <f t="shared" si="2"/>
        <v>537.81518496</v>
      </c>
      <c r="L57" s="379">
        <f t="shared" si="8"/>
        <v>0</v>
      </c>
      <c r="O57" s="273">
        <f t="shared" si="10"/>
        <v>537.81518496</v>
      </c>
      <c r="P57" s="273">
        <f t="shared" si="4"/>
        <v>537.81518496</v>
      </c>
    </row>
    <row r="58" spans="1:16" ht="13.5">
      <c r="A58" s="163" t="s">
        <v>167</v>
      </c>
      <c r="B58" s="163">
        <v>1310</v>
      </c>
      <c r="C58" s="163">
        <v>212.96</v>
      </c>
      <c r="D58" s="166">
        <v>234.25600000000003</v>
      </c>
      <c r="E58" s="377">
        <v>0.10000000000000009</v>
      </c>
      <c r="F58" s="378">
        <v>271</v>
      </c>
      <c r="G58" s="81">
        <f t="shared" si="9"/>
        <v>287.26</v>
      </c>
      <c r="H58" s="273">
        <f t="shared" si="9"/>
        <v>304.4956</v>
      </c>
      <c r="I58" s="273">
        <v>322.76533600000005</v>
      </c>
      <c r="J58" s="273">
        <v>342.13125616</v>
      </c>
      <c r="K58" s="273">
        <f t="shared" si="2"/>
        <v>342.13125616</v>
      </c>
      <c r="L58" s="379">
        <f t="shared" si="8"/>
        <v>0</v>
      </c>
      <c r="O58" s="273">
        <f t="shared" si="10"/>
        <v>342.13125616</v>
      </c>
      <c r="P58" s="273">
        <f t="shared" si="4"/>
        <v>342.13125616</v>
      </c>
    </row>
    <row r="59" spans="1:16" ht="13.5">
      <c r="A59" s="163" t="s">
        <v>168</v>
      </c>
      <c r="B59" s="163">
        <v>1310</v>
      </c>
      <c r="C59" s="163">
        <v>808.28</v>
      </c>
      <c r="D59" s="166">
        <v>889.1080000000001</v>
      </c>
      <c r="E59" s="377">
        <v>0.10000000000000012</v>
      </c>
      <c r="F59" s="378">
        <v>1027</v>
      </c>
      <c r="G59" s="81">
        <f t="shared" si="9"/>
        <v>1088.6200000000001</v>
      </c>
      <c r="H59" s="273">
        <f t="shared" si="9"/>
        <v>1153.9372</v>
      </c>
      <c r="I59" s="273">
        <v>1223.173432</v>
      </c>
      <c r="J59" s="273">
        <v>1296.56383792</v>
      </c>
      <c r="K59" s="273">
        <f t="shared" si="2"/>
        <v>1296.56383792</v>
      </c>
      <c r="L59" s="379">
        <f t="shared" si="8"/>
        <v>0</v>
      </c>
      <c r="O59" s="273">
        <f t="shared" si="10"/>
        <v>1296.56383792</v>
      </c>
      <c r="P59" s="273">
        <f t="shared" si="4"/>
        <v>1296.56383792</v>
      </c>
    </row>
    <row r="60" spans="1:16" ht="14.25">
      <c r="A60" s="163" t="s">
        <v>1190</v>
      </c>
      <c r="B60" s="174"/>
      <c r="C60" s="174"/>
      <c r="D60" s="166"/>
      <c r="E60" s="377"/>
      <c r="F60" s="378"/>
      <c r="G60" s="781"/>
      <c r="H60" s="760"/>
      <c r="I60" s="163" t="s">
        <v>1184</v>
      </c>
      <c r="J60" s="782">
        <v>2000</v>
      </c>
      <c r="K60" s="273">
        <f t="shared" si="2"/>
        <v>2000</v>
      </c>
      <c r="L60" s="379">
        <f t="shared" si="8"/>
        <v>0</v>
      </c>
      <c r="O60" s="273">
        <f t="shared" si="10"/>
        <v>2000</v>
      </c>
      <c r="P60" s="273">
        <f t="shared" si="4"/>
        <v>2000</v>
      </c>
    </row>
    <row r="61" spans="1:16" ht="14.25">
      <c r="A61" s="163" t="s">
        <v>1191</v>
      </c>
      <c r="B61" s="174"/>
      <c r="C61" s="174"/>
      <c r="D61" s="166"/>
      <c r="E61" s="377"/>
      <c r="F61" s="378"/>
      <c r="G61" s="781"/>
      <c r="H61" s="760"/>
      <c r="I61" s="163" t="s">
        <v>1184</v>
      </c>
      <c r="J61" s="782">
        <v>550</v>
      </c>
      <c r="K61" s="273">
        <f t="shared" si="2"/>
        <v>550</v>
      </c>
      <c r="L61" s="379">
        <f t="shared" si="8"/>
        <v>0</v>
      </c>
      <c r="O61" s="273">
        <f t="shared" si="10"/>
        <v>550</v>
      </c>
      <c r="P61" s="273">
        <f t="shared" si="4"/>
        <v>550</v>
      </c>
    </row>
    <row r="62" spans="1:16" ht="14.25">
      <c r="A62" s="163" t="s">
        <v>1496</v>
      </c>
      <c r="B62" s="174"/>
      <c r="C62" s="174"/>
      <c r="D62" s="166"/>
      <c r="E62" s="377"/>
      <c r="F62" s="378"/>
      <c r="G62" s="781"/>
      <c r="H62" s="760"/>
      <c r="I62" s="163" t="s">
        <v>1184</v>
      </c>
      <c r="J62" s="782">
        <v>1000</v>
      </c>
      <c r="K62" s="273">
        <f t="shared" si="2"/>
        <v>1000</v>
      </c>
      <c r="L62" s="379">
        <f t="shared" si="8"/>
        <v>0</v>
      </c>
      <c r="O62" s="273">
        <f t="shared" si="10"/>
        <v>1000</v>
      </c>
      <c r="P62" s="273">
        <f t="shared" si="4"/>
        <v>1000</v>
      </c>
    </row>
    <row r="63" spans="1:16" ht="27">
      <c r="A63" s="163" t="s">
        <v>1497</v>
      </c>
      <c r="B63" s="174"/>
      <c r="C63" s="174"/>
      <c r="D63" s="166"/>
      <c r="E63" s="377"/>
      <c r="F63" s="378"/>
      <c r="G63" s="781"/>
      <c r="H63" s="760"/>
      <c r="I63" s="163" t="s">
        <v>1184</v>
      </c>
      <c r="J63" s="782">
        <v>550</v>
      </c>
      <c r="K63" s="273">
        <f t="shared" si="2"/>
        <v>550</v>
      </c>
      <c r="L63" s="379">
        <f t="shared" si="8"/>
        <v>0</v>
      </c>
      <c r="O63" s="273">
        <f t="shared" si="10"/>
        <v>550</v>
      </c>
      <c r="P63" s="273">
        <f t="shared" si="4"/>
        <v>550</v>
      </c>
    </row>
    <row r="64" spans="1:16" ht="27">
      <c r="A64" s="163" t="s">
        <v>1498</v>
      </c>
      <c r="B64" s="174"/>
      <c r="C64" s="174"/>
      <c r="D64" s="166"/>
      <c r="E64" s="377"/>
      <c r="F64" s="378"/>
      <c r="G64" s="781"/>
      <c r="H64" s="760"/>
      <c r="I64" s="163" t="s">
        <v>1184</v>
      </c>
      <c r="J64" s="782">
        <v>550</v>
      </c>
      <c r="K64" s="273">
        <f t="shared" si="2"/>
        <v>550</v>
      </c>
      <c r="L64" s="379">
        <f t="shared" si="8"/>
        <v>0</v>
      </c>
      <c r="O64" s="273">
        <f t="shared" si="10"/>
        <v>550</v>
      </c>
      <c r="P64" s="273">
        <f t="shared" si="4"/>
        <v>550</v>
      </c>
    </row>
    <row r="65" spans="1:16" ht="14.25">
      <c r="A65" s="163" t="s">
        <v>1499</v>
      </c>
      <c r="B65" s="174"/>
      <c r="C65" s="174"/>
      <c r="D65" s="166"/>
      <c r="E65" s="377"/>
      <c r="F65" s="378"/>
      <c r="G65" s="781"/>
      <c r="H65" s="760"/>
      <c r="I65" s="163" t="s">
        <v>1184</v>
      </c>
      <c r="J65" s="782">
        <v>3000</v>
      </c>
      <c r="K65" s="273">
        <f t="shared" si="2"/>
        <v>3000</v>
      </c>
      <c r="L65" s="379">
        <f t="shared" si="8"/>
        <v>0</v>
      </c>
      <c r="O65" s="273">
        <f t="shared" si="10"/>
        <v>3000</v>
      </c>
      <c r="P65" s="273">
        <f t="shared" si="4"/>
        <v>3000</v>
      </c>
    </row>
    <row r="66" spans="1:16" ht="27">
      <c r="A66" s="163" t="s">
        <v>1192</v>
      </c>
      <c r="B66" s="174"/>
      <c r="C66" s="174"/>
      <c r="D66" s="166"/>
      <c r="E66" s="377"/>
      <c r="F66" s="378"/>
      <c r="G66" s="781"/>
      <c r="H66" s="760"/>
      <c r="I66" s="163" t="s">
        <v>1184</v>
      </c>
      <c r="J66" s="782">
        <v>507</v>
      </c>
      <c r="K66" s="273">
        <f t="shared" si="2"/>
        <v>507</v>
      </c>
      <c r="L66" s="379">
        <f t="shared" si="8"/>
        <v>0</v>
      </c>
      <c r="O66" s="273">
        <f t="shared" si="10"/>
        <v>507</v>
      </c>
      <c r="P66" s="273">
        <f t="shared" si="4"/>
        <v>507</v>
      </c>
    </row>
    <row r="67" spans="1:16" ht="14.25">
      <c r="A67" s="163" t="s">
        <v>1193</v>
      </c>
      <c r="B67" s="174"/>
      <c r="C67" s="174"/>
      <c r="D67" s="166"/>
      <c r="E67" s="377"/>
      <c r="F67" s="378"/>
      <c r="G67" s="781"/>
      <c r="H67" s="760"/>
      <c r="I67" s="163" t="s">
        <v>1184</v>
      </c>
      <c r="J67" s="782">
        <v>550</v>
      </c>
      <c r="K67" s="273">
        <f t="shared" si="2"/>
        <v>550</v>
      </c>
      <c r="L67" s="379">
        <f t="shared" si="8"/>
        <v>0</v>
      </c>
      <c r="O67" s="273">
        <f t="shared" si="10"/>
        <v>550</v>
      </c>
      <c r="P67" s="273">
        <f t="shared" si="4"/>
        <v>550</v>
      </c>
    </row>
    <row r="68" spans="1:16" ht="14.25">
      <c r="A68" s="163"/>
      <c r="B68" s="174"/>
      <c r="C68" s="174"/>
      <c r="D68" s="166"/>
      <c r="E68" s="377"/>
      <c r="F68" s="378"/>
      <c r="G68" s="781"/>
      <c r="H68" s="760"/>
      <c r="I68" s="163"/>
      <c r="J68" s="782"/>
      <c r="K68" s="273"/>
      <c r="L68" s="379"/>
      <c r="O68" s="273"/>
      <c r="P68" s="273"/>
    </row>
    <row r="69" spans="1:16" s="559" customFormat="1" ht="13.5">
      <c r="A69" s="934" t="s">
        <v>1500</v>
      </c>
      <c r="B69" s="505"/>
      <c r="C69" s="505"/>
      <c r="D69" s="506"/>
      <c r="E69" s="507"/>
      <c r="F69" s="387"/>
      <c r="G69" s="805"/>
      <c r="H69" s="806"/>
      <c r="I69" s="505" t="s">
        <v>1184</v>
      </c>
      <c r="J69" s="509">
        <v>5422.695848000001</v>
      </c>
      <c r="K69" s="509">
        <v>5748.057598880001</v>
      </c>
      <c r="L69" s="936">
        <f t="shared" si="8"/>
        <v>0</v>
      </c>
      <c r="M69" s="510">
        <f>$L$9</f>
        <v>0</v>
      </c>
      <c r="O69" s="509">
        <f>(K69*M69)+K69</f>
        <v>5748.057598880001</v>
      </c>
      <c r="P69" s="509"/>
    </row>
    <row r="70" spans="1:16" s="559" customFormat="1" ht="13.5">
      <c r="A70" s="935" t="s">
        <v>1501</v>
      </c>
      <c r="B70" s="505"/>
      <c r="C70" s="505"/>
      <c r="D70" s="506"/>
      <c r="E70" s="507"/>
      <c r="F70" s="387"/>
      <c r="G70" s="805"/>
      <c r="H70" s="806"/>
      <c r="I70" s="505" t="s">
        <v>1184</v>
      </c>
      <c r="J70" s="509">
        <v>5422.695848000001</v>
      </c>
      <c r="K70" s="509">
        <v>5748.057598880001</v>
      </c>
      <c r="L70" s="936">
        <f t="shared" si="8"/>
        <v>0</v>
      </c>
      <c r="M70" s="510">
        <f>$L$9</f>
        <v>0</v>
      </c>
      <c r="O70" s="509">
        <f>(K70*M70)+K70</f>
        <v>5748.057598880001</v>
      </c>
      <c r="P70" s="509"/>
    </row>
    <row r="71" spans="1:16" s="559" customFormat="1" ht="13.5">
      <c r="A71" s="935" t="s">
        <v>1502</v>
      </c>
      <c r="B71" s="505"/>
      <c r="C71" s="505"/>
      <c r="D71" s="506"/>
      <c r="E71" s="507"/>
      <c r="F71" s="387"/>
      <c r="G71" s="508"/>
      <c r="H71" s="509"/>
      <c r="I71" s="505" t="s">
        <v>1184</v>
      </c>
      <c r="J71" s="785" t="s">
        <v>1503</v>
      </c>
      <c r="K71" s="785" t="s">
        <v>1504</v>
      </c>
      <c r="L71" s="936">
        <f t="shared" si="8"/>
        <v>0</v>
      </c>
      <c r="M71" s="785"/>
      <c r="N71" s="785"/>
      <c r="O71" s="785" t="s">
        <v>1505</v>
      </c>
      <c r="P71" s="785"/>
    </row>
    <row r="72" spans="1:16" s="559" customFormat="1" ht="13.5">
      <c r="A72" s="935" t="s">
        <v>1506</v>
      </c>
      <c r="B72" s="505"/>
      <c r="C72" s="505"/>
      <c r="D72" s="506"/>
      <c r="E72" s="507"/>
      <c r="F72" s="387"/>
      <c r="G72" s="508"/>
      <c r="H72" s="509"/>
      <c r="I72" s="505" t="s">
        <v>1184</v>
      </c>
      <c r="J72" s="509">
        <v>5422.695848000001</v>
      </c>
      <c r="K72" s="509">
        <v>5748.057598880001</v>
      </c>
      <c r="L72" s="936">
        <f t="shared" si="8"/>
        <v>0</v>
      </c>
      <c r="M72" s="510">
        <f>$L$9</f>
        <v>0</v>
      </c>
      <c r="O72" s="509">
        <f>(K72*M72)+K72</f>
        <v>5748.057598880001</v>
      </c>
      <c r="P72" s="509"/>
    </row>
    <row r="73" spans="1:16" ht="54">
      <c r="A73" s="540" t="s">
        <v>1194</v>
      </c>
      <c r="B73" s="505"/>
      <c r="C73" s="505"/>
      <c r="D73" s="506"/>
      <c r="E73" s="507"/>
      <c r="F73" s="387"/>
      <c r="G73" s="508"/>
      <c r="H73" s="509"/>
      <c r="I73" s="509"/>
      <c r="J73" s="563"/>
      <c r="K73" s="273"/>
      <c r="L73" s="379"/>
      <c r="O73" s="273"/>
      <c r="P73" s="273"/>
    </row>
    <row r="74" spans="1:16" ht="14.25">
      <c r="A74" s="540"/>
      <c r="B74" s="505"/>
      <c r="C74" s="505"/>
      <c r="D74" s="506"/>
      <c r="E74" s="507"/>
      <c r="F74" s="387"/>
      <c r="G74" s="508"/>
      <c r="H74" s="509"/>
      <c r="I74" s="509"/>
      <c r="J74" s="563"/>
      <c r="K74" s="273"/>
      <c r="L74" s="379"/>
      <c r="O74" s="273"/>
      <c r="P74" s="273"/>
    </row>
    <row r="75" spans="1:16" ht="13.5">
      <c r="A75" s="160" t="s">
        <v>408</v>
      </c>
      <c r="B75" s="160"/>
      <c r="C75" s="160"/>
      <c r="D75" s="161"/>
      <c r="E75" s="385"/>
      <c r="F75" s="386"/>
      <c r="G75" s="83"/>
      <c r="H75" s="273"/>
      <c r="I75" s="273"/>
      <c r="J75" s="273"/>
      <c r="K75" s="273"/>
      <c r="L75" s="379"/>
      <c r="O75" s="273"/>
      <c r="P75" s="273"/>
    </row>
    <row r="76" spans="1:16" ht="13.5">
      <c r="A76" s="160" t="s">
        <v>219</v>
      </c>
      <c r="B76" s="160"/>
      <c r="C76" s="160"/>
      <c r="D76" s="161"/>
      <c r="E76" s="385"/>
      <c r="F76" s="386"/>
      <c r="G76" s="83"/>
      <c r="H76" s="273"/>
      <c r="I76" s="273"/>
      <c r="J76" s="273"/>
      <c r="K76" s="273"/>
      <c r="L76" s="379"/>
      <c r="O76" s="273"/>
      <c r="P76" s="273"/>
    </row>
    <row r="77" spans="1:16" ht="13.5">
      <c r="A77" s="174" t="s">
        <v>220</v>
      </c>
      <c r="B77" s="174">
        <v>1309</v>
      </c>
      <c r="C77" s="174">
        <v>66.55</v>
      </c>
      <c r="D77" s="166">
        <v>73.205</v>
      </c>
      <c r="E77" s="377">
        <v>0.10000000000000002</v>
      </c>
      <c r="F77" s="387">
        <v>85</v>
      </c>
      <c r="G77" s="81">
        <v>90.10000000000001</v>
      </c>
      <c r="H77" s="273">
        <f>G77*1.06</f>
        <v>95.50600000000001</v>
      </c>
      <c r="I77" s="273">
        <v>101.23636000000002</v>
      </c>
      <c r="J77" s="273">
        <v>107.31054160000002</v>
      </c>
      <c r="K77" s="273">
        <f t="shared" si="2"/>
        <v>107.31054160000002</v>
      </c>
      <c r="L77" s="379">
        <f t="shared" si="8"/>
        <v>0</v>
      </c>
      <c r="O77" s="273">
        <f>(K77*$O$9)+K77</f>
        <v>107.31054160000002</v>
      </c>
      <c r="P77" s="273">
        <f>(O77*$P$9)+O77</f>
        <v>107.31054160000002</v>
      </c>
    </row>
    <row r="78" spans="1:16" ht="13.5">
      <c r="A78" s="160" t="s">
        <v>221</v>
      </c>
      <c r="B78" s="160">
        <v>1309</v>
      </c>
      <c r="C78" s="174">
        <v>54.45</v>
      </c>
      <c r="D78" s="166">
        <v>59.89500000000001</v>
      </c>
      <c r="E78" s="377">
        <v>0.10000000000000013</v>
      </c>
      <c r="F78" s="387">
        <v>69</v>
      </c>
      <c r="G78" s="81">
        <v>73.14</v>
      </c>
      <c r="H78" s="273">
        <f>G78*1.06</f>
        <v>77.5284</v>
      </c>
      <c r="I78" s="273">
        <v>82.180104</v>
      </c>
      <c r="J78" s="273">
        <v>87.11091024</v>
      </c>
      <c r="K78" s="273">
        <f t="shared" si="2"/>
        <v>87.11091024</v>
      </c>
      <c r="L78" s="379">
        <f t="shared" si="8"/>
        <v>0</v>
      </c>
      <c r="O78" s="273">
        <f>(K78*$O$9)+K78</f>
        <v>87.11091024</v>
      </c>
      <c r="P78" s="273">
        <f>(O78*$P$9)+O78</f>
        <v>87.11091024</v>
      </c>
    </row>
    <row r="79" spans="1:16" ht="13.5">
      <c r="A79" s="163" t="s">
        <v>222</v>
      </c>
      <c r="B79" s="163">
        <v>1309</v>
      </c>
      <c r="C79" s="381">
        <v>42.35</v>
      </c>
      <c r="D79" s="166">
        <v>46.58500000000001</v>
      </c>
      <c r="E79" s="377">
        <v>0.10000000000000014</v>
      </c>
      <c r="F79" s="387">
        <v>54</v>
      </c>
      <c r="G79" s="81">
        <v>57.24</v>
      </c>
      <c r="H79" s="273">
        <f>G79*1.06</f>
        <v>60.674400000000006</v>
      </c>
      <c r="I79" s="273">
        <v>64.314864</v>
      </c>
      <c r="J79" s="273">
        <v>68.17375584</v>
      </c>
      <c r="K79" s="273">
        <f t="shared" si="2"/>
        <v>68.17375584</v>
      </c>
      <c r="L79" s="379">
        <f t="shared" si="8"/>
        <v>0</v>
      </c>
      <c r="O79" s="273">
        <f>(K79*$O$9)+K79</f>
        <v>68.17375584</v>
      </c>
      <c r="P79" s="273">
        <f>(O79*$P$9)+O79</f>
        <v>68.17375584</v>
      </c>
    </row>
    <row r="80" spans="1:16" ht="13.5">
      <c r="A80" s="163" t="s">
        <v>223</v>
      </c>
      <c r="B80" s="163">
        <v>1309</v>
      </c>
      <c r="C80" s="381">
        <v>11</v>
      </c>
      <c r="D80" s="166">
        <v>12.100000000000001</v>
      </c>
      <c r="E80" s="377">
        <v>0.10000000000000013</v>
      </c>
      <c r="F80" s="387">
        <v>14</v>
      </c>
      <c r="G80" s="81">
        <v>14.84</v>
      </c>
      <c r="H80" s="273">
        <f>G80*1.06</f>
        <v>15.730400000000001</v>
      </c>
      <c r="I80" s="273">
        <v>16.674224000000002</v>
      </c>
      <c r="J80" s="273">
        <v>17.674677440000004</v>
      </c>
      <c r="K80" s="273">
        <f t="shared" si="2"/>
        <v>17.674677440000004</v>
      </c>
      <c r="L80" s="379">
        <f t="shared" si="8"/>
        <v>0</v>
      </c>
      <c r="O80" s="273">
        <f>(K80*$O$9)+K80</f>
        <v>17.674677440000004</v>
      </c>
      <c r="P80" s="273">
        <f>(O80*$P$9)+O80</f>
        <v>17.674677440000004</v>
      </c>
    </row>
    <row r="81" spans="1:16" ht="13.5">
      <c r="A81" s="163" t="s">
        <v>224</v>
      </c>
      <c r="B81" s="163">
        <v>1309</v>
      </c>
      <c r="C81" s="381">
        <v>5.5</v>
      </c>
      <c r="D81" s="166">
        <v>6.050000000000001</v>
      </c>
      <c r="E81" s="377">
        <v>0.10000000000000013</v>
      </c>
      <c r="F81" s="387">
        <v>7</v>
      </c>
      <c r="G81" s="81">
        <v>7.42</v>
      </c>
      <c r="H81" s="273">
        <f>G81*1.06</f>
        <v>7.865200000000001</v>
      </c>
      <c r="I81" s="273">
        <v>8.337112000000001</v>
      </c>
      <c r="J81" s="273">
        <v>8.837338720000002</v>
      </c>
      <c r="K81" s="273">
        <f t="shared" si="2"/>
        <v>8.837338720000002</v>
      </c>
      <c r="L81" s="379">
        <f aca="true" t="shared" si="11" ref="L81:L112">$L$9</f>
        <v>0</v>
      </c>
      <c r="O81" s="273">
        <f>(K81*$O$9)+K81</f>
        <v>8.837338720000002</v>
      </c>
      <c r="P81" s="273">
        <f>(O81*$P$9)+O81</f>
        <v>8.837338720000002</v>
      </c>
    </row>
    <row r="82" spans="1:16" s="558" customFormat="1" ht="13.5">
      <c r="A82" s="163"/>
      <c r="B82" s="163"/>
      <c r="C82" s="381"/>
      <c r="D82" s="166"/>
      <c r="E82" s="377"/>
      <c r="F82" s="403"/>
      <c r="G82" s="81"/>
      <c r="H82" s="273"/>
      <c r="I82" s="273"/>
      <c r="J82" s="273"/>
      <c r="K82" s="273"/>
      <c r="L82" s="379"/>
      <c r="O82" s="273"/>
      <c r="P82" s="273"/>
    </row>
    <row r="83" spans="1:16" s="558" customFormat="1" ht="13.5">
      <c r="A83" s="160" t="s">
        <v>409</v>
      </c>
      <c r="B83" s="160"/>
      <c r="C83" s="404"/>
      <c r="D83" s="161"/>
      <c r="E83" s="385"/>
      <c r="F83" s="405"/>
      <c r="G83" s="83"/>
      <c r="H83" s="273"/>
      <c r="I83" s="273"/>
      <c r="J83" s="273"/>
      <c r="K83" s="273"/>
      <c r="L83" s="379"/>
      <c r="O83" s="273"/>
      <c r="P83" s="273"/>
    </row>
    <row r="84" spans="1:16" ht="13.5">
      <c r="A84" s="160" t="s">
        <v>410</v>
      </c>
      <c r="B84" s="160"/>
      <c r="C84" s="404"/>
      <c r="D84" s="161"/>
      <c r="E84" s="385"/>
      <c r="F84" s="405"/>
      <c r="G84" s="83"/>
      <c r="H84" s="273"/>
      <c r="I84" s="273"/>
      <c r="J84" s="273"/>
      <c r="K84" s="273"/>
      <c r="L84" s="379"/>
      <c r="O84" s="273"/>
      <c r="P84" s="273"/>
    </row>
    <row r="85" spans="1:16" ht="13.5">
      <c r="A85" s="164" t="s">
        <v>411</v>
      </c>
      <c r="B85" s="163">
        <v>1309</v>
      </c>
      <c r="C85" s="381">
        <v>193.6</v>
      </c>
      <c r="D85" s="166">
        <v>212.96</v>
      </c>
      <c r="E85" s="377">
        <v>0.10000000000000007</v>
      </c>
      <c r="F85" s="387">
        <v>246</v>
      </c>
      <c r="G85" s="81">
        <v>260.76</v>
      </c>
      <c r="H85" s="273">
        <f>G85*1.06</f>
        <v>276.4056</v>
      </c>
      <c r="I85" s="273">
        <v>292.989936</v>
      </c>
      <c r="J85" s="273">
        <v>310.56933216</v>
      </c>
      <c r="K85" s="273">
        <f aca="true" t="shared" si="12" ref="K85:K128">(J85*L85)+J85</f>
        <v>310.56933216</v>
      </c>
      <c r="L85" s="379">
        <f t="shared" si="11"/>
        <v>0</v>
      </c>
      <c r="O85" s="273">
        <f>(K85*$O$9)+K85</f>
        <v>310.56933216</v>
      </c>
      <c r="P85" s="273">
        <f>(O85*$P$9)+O85</f>
        <v>310.56933216</v>
      </c>
    </row>
    <row r="86" spans="1:16" s="559" customFormat="1" ht="13.5">
      <c r="A86" s="164" t="s">
        <v>412</v>
      </c>
      <c r="B86" s="163">
        <v>1309</v>
      </c>
      <c r="C86" s="381">
        <v>96.8</v>
      </c>
      <c r="D86" s="166">
        <v>106.48</v>
      </c>
      <c r="E86" s="377">
        <v>0.10000000000000007</v>
      </c>
      <c r="F86" s="387">
        <v>123</v>
      </c>
      <c r="G86" s="81">
        <v>130.38</v>
      </c>
      <c r="H86" s="273">
        <f>G86*1.06</f>
        <v>138.2028</v>
      </c>
      <c r="I86" s="273">
        <v>146.494968</v>
      </c>
      <c r="J86" s="273">
        <v>155.28466608</v>
      </c>
      <c r="K86" s="273">
        <f t="shared" si="12"/>
        <v>155.28466608</v>
      </c>
      <c r="L86" s="379">
        <f t="shared" si="11"/>
        <v>0</v>
      </c>
      <c r="O86" s="273">
        <f>(K86*$O$9)+K86</f>
        <v>155.28466608</v>
      </c>
      <c r="P86" s="273">
        <f>(O86*$P$9)+O86</f>
        <v>155.28466608</v>
      </c>
    </row>
    <row r="87" spans="1:16" s="559" customFormat="1" ht="13.5">
      <c r="A87" s="163" t="s">
        <v>413</v>
      </c>
      <c r="B87" s="163">
        <v>1309</v>
      </c>
      <c r="C87" s="381">
        <v>48.4</v>
      </c>
      <c r="D87" s="166">
        <v>53.24</v>
      </c>
      <c r="E87" s="377">
        <v>0.10000000000000007</v>
      </c>
      <c r="F87" s="387">
        <v>62</v>
      </c>
      <c r="G87" s="81">
        <v>65.72</v>
      </c>
      <c r="H87" s="273">
        <f>G87*1.06</f>
        <v>69.6632</v>
      </c>
      <c r="I87" s="273">
        <v>73.84299200000001</v>
      </c>
      <c r="J87" s="273">
        <v>78.27357152</v>
      </c>
      <c r="K87" s="273">
        <f t="shared" si="12"/>
        <v>78.27357152</v>
      </c>
      <c r="L87" s="379">
        <f t="shared" si="11"/>
        <v>0</v>
      </c>
      <c r="O87" s="273">
        <f>(K87*$O$9)+K87</f>
        <v>78.27357152</v>
      </c>
      <c r="P87" s="273">
        <f>(O87*$P$9)+O87</f>
        <v>78.27357152</v>
      </c>
    </row>
    <row r="88" spans="1:16" ht="13.5">
      <c r="A88" s="163" t="s">
        <v>414</v>
      </c>
      <c r="B88" s="163">
        <v>1309</v>
      </c>
      <c r="C88" s="381">
        <v>24.2</v>
      </c>
      <c r="D88" s="166">
        <v>26.62</v>
      </c>
      <c r="E88" s="377">
        <v>0.10000000000000007</v>
      </c>
      <c r="F88" s="387">
        <v>31</v>
      </c>
      <c r="G88" s="81">
        <v>32.86</v>
      </c>
      <c r="H88" s="273">
        <f>G88*1.06</f>
        <v>34.8316</v>
      </c>
      <c r="I88" s="273">
        <v>36.921496000000005</v>
      </c>
      <c r="J88" s="273">
        <v>39.13678576</v>
      </c>
      <c r="K88" s="273">
        <f t="shared" si="12"/>
        <v>39.13678576</v>
      </c>
      <c r="L88" s="379">
        <f t="shared" si="11"/>
        <v>0</v>
      </c>
      <c r="M88" s="155"/>
      <c r="N88" s="155"/>
      <c r="O88" s="273">
        <f>(K88*$O$9)+K88</f>
        <v>39.13678576</v>
      </c>
      <c r="P88" s="273">
        <f>(O88*$P$9)+O88</f>
        <v>39.13678576</v>
      </c>
    </row>
    <row r="89" spans="1:16" ht="13.5">
      <c r="A89" s="163" t="s">
        <v>415</v>
      </c>
      <c r="B89" s="163">
        <v>1309</v>
      </c>
      <c r="C89" s="381">
        <v>12.1</v>
      </c>
      <c r="D89" s="166">
        <v>13.31</v>
      </c>
      <c r="E89" s="377">
        <v>0.10000000000000007</v>
      </c>
      <c r="F89" s="387">
        <v>15</v>
      </c>
      <c r="G89" s="81">
        <v>15.9</v>
      </c>
      <c r="H89" s="273">
        <f>G89*1.06</f>
        <v>16.854000000000003</v>
      </c>
      <c r="I89" s="273">
        <v>17.865240000000004</v>
      </c>
      <c r="J89" s="273">
        <v>18.937154400000004</v>
      </c>
      <c r="K89" s="273">
        <f t="shared" si="12"/>
        <v>18.937154400000004</v>
      </c>
      <c r="L89" s="379">
        <f t="shared" si="11"/>
        <v>0</v>
      </c>
      <c r="M89" s="155"/>
      <c r="N89" s="155"/>
      <c r="O89" s="273">
        <f>(K89*$O$9)+K89</f>
        <v>18.937154400000004</v>
      </c>
      <c r="P89" s="273">
        <f>(O89*$P$9)+O89</f>
        <v>18.937154400000004</v>
      </c>
    </row>
    <row r="90" spans="1:16" ht="13.5">
      <c r="A90" s="160" t="s">
        <v>416</v>
      </c>
      <c r="B90" s="163"/>
      <c r="C90" s="381"/>
      <c r="D90" s="166"/>
      <c r="E90" s="377"/>
      <c r="F90" s="382"/>
      <c r="G90" s="81"/>
      <c r="H90" s="273"/>
      <c r="I90" s="273"/>
      <c r="J90" s="273"/>
      <c r="K90" s="273"/>
      <c r="L90" s="379"/>
      <c r="M90" s="155"/>
      <c r="N90" s="155"/>
      <c r="O90" s="273"/>
      <c r="P90" s="273"/>
    </row>
    <row r="91" spans="1:16" s="157" customFormat="1" ht="13.5">
      <c r="A91" s="163" t="s">
        <v>411</v>
      </c>
      <c r="B91" s="163">
        <v>1309</v>
      </c>
      <c r="C91" s="381">
        <v>544.5</v>
      </c>
      <c r="D91" s="166">
        <v>598.95</v>
      </c>
      <c r="E91" s="377">
        <v>0.10000000000000009</v>
      </c>
      <c r="F91" s="387">
        <v>692</v>
      </c>
      <c r="G91" s="81">
        <v>733.52</v>
      </c>
      <c r="H91" s="273">
        <f>G91*1.06</f>
        <v>777.5312</v>
      </c>
      <c r="I91" s="273">
        <v>824.183072</v>
      </c>
      <c r="J91" s="273">
        <v>873.63405632</v>
      </c>
      <c r="K91" s="273">
        <f t="shared" si="12"/>
        <v>873.63405632</v>
      </c>
      <c r="L91" s="379">
        <f t="shared" si="11"/>
        <v>0</v>
      </c>
      <c r="M91" s="157">
        <f>1143*1.06</f>
        <v>1211.5800000000002</v>
      </c>
      <c r="N91" s="157">
        <f>165*1.06</f>
        <v>174.9</v>
      </c>
      <c r="O91" s="273">
        <f>(K91*$O$9)+K91</f>
        <v>873.63405632</v>
      </c>
      <c r="P91" s="273">
        <f>(O91*$P$9)+O91</f>
        <v>873.63405632</v>
      </c>
    </row>
    <row r="92" spans="1:16" s="157" customFormat="1" ht="13.5">
      <c r="A92" s="163" t="s">
        <v>412</v>
      </c>
      <c r="B92" s="163">
        <v>1309</v>
      </c>
      <c r="C92" s="381">
        <v>278.3</v>
      </c>
      <c r="D92" s="166">
        <v>306.13000000000005</v>
      </c>
      <c r="E92" s="377">
        <v>0.10000000000000014</v>
      </c>
      <c r="F92" s="387">
        <v>354</v>
      </c>
      <c r="G92" s="81">
        <v>375.24</v>
      </c>
      <c r="H92" s="273">
        <f>G92*1.06</f>
        <v>397.75440000000003</v>
      </c>
      <c r="I92" s="273">
        <v>421.61966400000006</v>
      </c>
      <c r="J92" s="273">
        <v>446.91684384000007</v>
      </c>
      <c r="K92" s="273">
        <f t="shared" si="12"/>
        <v>446.91684384000007</v>
      </c>
      <c r="L92" s="379">
        <f t="shared" si="11"/>
        <v>0</v>
      </c>
      <c r="M92" s="157">
        <f>1143*1.06</f>
        <v>1211.5800000000002</v>
      </c>
      <c r="N92" s="157">
        <v>174.9</v>
      </c>
      <c r="O92" s="273">
        <f>(K92*$O$9)+K92</f>
        <v>446.91684384000007</v>
      </c>
      <c r="P92" s="273">
        <f>(O92*$P$9)+O92</f>
        <v>446.91684384000007</v>
      </c>
    </row>
    <row r="93" spans="1:16" s="157" customFormat="1" ht="13.5">
      <c r="A93" s="163" t="s">
        <v>413</v>
      </c>
      <c r="B93" s="163">
        <v>1309</v>
      </c>
      <c r="C93" s="381">
        <v>145.2</v>
      </c>
      <c r="D93" s="166">
        <v>159.72</v>
      </c>
      <c r="E93" s="377">
        <v>0.10000000000000007</v>
      </c>
      <c r="F93" s="387">
        <v>185</v>
      </c>
      <c r="G93" s="81">
        <v>196</v>
      </c>
      <c r="H93" s="273">
        <f>G93*1.06</f>
        <v>207.76000000000002</v>
      </c>
      <c r="I93" s="273">
        <v>220.22560000000001</v>
      </c>
      <c r="J93" s="273">
        <v>233.43913600000002</v>
      </c>
      <c r="K93" s="273">
        <f t="shared" si="12"/>
        <v>233.43913600000002</v>
      </c>
      <c r="L93" s="379">
        <f t="shared" si="11"/>
        <v>0</v>
      </c>
      <c r="M93" s="157">
        <f>1143*1.06</f>
        <v>1211.5800000000002</v>
      </c>
      <c r="N93" s="157">
        <f>156*1.06</f>
        <v>165.36</v>
      </c>
      <c r="O93" s="273">
        <f>(K93*$O$9)+K93</f>
        <v>233.43913600000002</v>
      </c>
      <c r="P93" s="273">
        <f>(O93*$P$9)+O93</f>
        <v>233.43913600000002</v>
      </c>
    </row>
    <row r="94" spans="1:16" s="157" customFormat="1" ht="13.5">
      <c r="A94" s="163" t="s">
        <v>414</v>
      </c>
      <c r="B94" s="163">
        <v>1309</v>
      </c>
      <c r="C94" s="381">
        <v>66</v>
      </c>
      <c r="D94" s="166">
        <v>72.60000000000001</v>
      </c>
      <c r="E94" s="377">
        <v>0.10000000000000013</v>
      </c>
      <c r="F94" s="387">
        <v>84</v>
      </c>
      <c r="G94" s="81">
        <v>89.04</v>
      </c>
      <c r="H94" s="273">
        <f>G94*1.06</f>
        <v>94.38240000000002</v>
      </c>
      <c r="I94" s="273">
        <v>100.04534400000001</v>
      </c>
      <c r="J94" s="273">
        <v>106.04806464000002</v>
      </c>
      <c r="K94" s="273">
        <f t="shared" si="12"/>
        <v>106.04806464000002</v>
      </c>
      <c r="L94" s="379">
        <f t="shared" si="11"/>
        <v>0</v>
      </c>
      <c r="M94" s="157">
        <f>1143*1.06</f>
        <v>1211.5800000000002</v>
      </c>
      <c r="N94" s="157">
        <v>165.36</v>
      </c>
      <c r="O94" s="273">
        <f>(K94*$O$9)+K94</f>
        <v>106.04806464000002</v>
      </c>
      <c r="P94" s="273">
        <f>(O94*$P$9)+O94</f>
        <v>106.04806464000002</v>
      </c>
    </row>
    <row r="95" spans="1:16" s="157" customFormat="1" ht="13.5">
      <c r="A95" s="163" t="s">
        <v>415</v>
      </c>
      <c r="B95" s="163">
        <v>1309</v>
      </c>
      <c r="C95" s="381">
        <v>33</v>
      </c>
      <c r="D95" s="166">
        <v>36.300000000000004</v>
      </c>
      <c r="E95" s="377">
        <v>0.10000000000000013</v>
      </c>
      <c r="F95" s="387">
        <v>42</v>
      </c>
      <c r="G95" s="81">
        <v>44.52</v>
      </c>
      <c r="H95" s="273">
        <f>G95*1.06</f>
        <v>47.19120000000001</v>
      </c>
      <c r="I95" s="273">
        <v>50.02267200000001</v>
      </c>
      <c r="J95" s="273">
        <v>53.02403232000001</v>
      </c>
      <c r="K95" s="273">
        <f t="shared" si="12"/>
        <v>53.02403232000001</v>
      </c>
      <c r="L95" s="379">
        <f t="shared" si="11"/>
        <v>0</v>
      </c>
      <c r="M95" s="157">
        <f>1143*1.06</f>
        <v>1211.5800000000002</v>
      </c>
      <c r="N95" s="157">
        <v>165.36</v>
      </c>
      <c r="O95" s="273">
        <f>(K95*$O$9)+K95</f>
        <v>53.02403232000001</v>
      </c>
      <c r="P95" s="273">
        <f>(O95*$P$9)+O95</f>
        <v>53.02403232000001</v>
      </c>
    </row>
    <row r="96" spans="1:16" ht="13.5">
      <c r="A96" s="160" t="s">
        <v>417</v>
      </c>
      <c r="B96" s="163"/>
      <c r="C96" s="381"/>
      <c r="D96" s="166"/>
      <c r="E96" s="377"/>
      <c r="F96" s="403"/>
      <c r="G96" s="81"/>
      <c r="H96" s="273"/>
      <c r="I96" s="273"/>
      <c r="J96" s="273"/>
      <c r="K96" s="273"/>
      <c r="L96" s="379"/>
      <c r="M96" s="155"/>
      <c r="N96" s="155"/>
      <c r="O96" s="273"/>
      <c r="P96" s="273"/>
    </row>
    <row r="97" spans="1:16" ht="13.5">
      <c r="A97" s="163" t="s">
        <v>411</v>
      </c>
      <c r="B97" s="163">
        <v>1309</v>
      </c>
      <c r="C97" s="381">
        <v>187</v>
      </c>
      <c r="D97" s="166">
        <v>205.70000000000002</v>
      </c>
      <c r="E97" s="377">
        <v>0.10000000000000009</v>
      </c>
      <c r="F97" s="387">
        <v>238</v>
      </c>
      <c r="G97" s="81">
        <v>252.28</v>
      </c>
      <c r="H97" s="273">
        <f>G97*1.06</f>
        <v>267.4168</v>
      </c>
      <c r="I97" s="273">
        <v>283.461808</v>
      </c>
      <c r="J97" s="273">
        <v>300.46951648000004</v>
      </c>
      <c r="K97" s="273">
        <f t="shared" si="12"/>
        <v>300.46951648000004</v>
      </c>
      <c r="L97" s="379">
        <f t="shared" si="11"/>
        <v>0</v>
      </c>
      <c r="M97" s="155"/>
      <c r="N97" s="155"/>
      <c r="O97" s="273">
        <f>(K97*$O$9)+K97</f>
        <v>300.46951648000004</v>
      </c>
      <c r="P97" s="273">
        <f>(O97*$P$9)+O97</f>
        <v>300.46951648000004</v>
      </c>
    </row>
    <row r="98" spans="1:16" s="559" customFormat="1" ht="13.5">
      <c r="A98" s="163" t="s">
        <v>412</v>
      </c>
      <c r="B98" s="163">
        <v>1309</v>
      </c>
      <c r="C98" s="381">
        <v>99</v>
      </c>
      <c r="D98" s="166">
        <v>108.9</v>
      </c>
      <c r="E98" s="377">
        <v>0.10000000000000006</v>
      </c>
      <c r="F98" s="387">
        <v>126</v>
      </c>
      <c r="G98" s="81">
        <v>133.56</v>
      </c>
      <c r="H98" s="273">
        <f>G98*1.06</f>
        <v>141.5736</v>
      </c>
      <c r="I98" s="273">
        <v>150.068016</v>
      </c>
      <c r="J98" s="273">
        <v>159.07209696</v>
      </c>
      <c r="K98" s="273">
        <f t="shared" si="12"/>
        <v>159.07209696</v>
      </c>
      <c r="L98" s="379">
        <f t="shared" si="11"/>
        <v>0</v>
      </c>
      <c r="M98" s="511"/>
      <c r="N98" s="511"/>
      <c r="O98" s="273">
        <f>(K98*$O$9)+K98</f>
        <v>159.07209696</v>
      </c>
      <c r="P98" s="273">
        <f>(O98*$P$9)+O98</f>
        <v>159.07209696</v>
      </c>
    </row>
    <row r="99" spans="1:16" s="558" customFormat="1" ht="13.5">
      <c r="A99" s="163" t="s">
        <v>413</v>
      </c>
      <c r="B99" s="163">
        <v>1309</v>
      </c>
      <c r="C99" s="381">
        <v>55</v>
      </c>
      <c r="D99" s="166">
        <v>60.50000000000001</v>
      </c>
      <c r="E99" s="377">
        <v>0.10000000000000013</v>
      </c>
      <c r="F99" s="387">
        <v>70</v>
      </c>
      <c r="G99" s="81">
        <v>74</v>
      </c>
      <c r="H99" s="273">
        <f>G99*1.06</f>
        <v>78.44</v>
      </c>
      <c r="I99" s="273">
        <v>83.1464</v>
      </c>
      <c r="J99" s="273">
        <v>88.135184</v>
      </c>
      <c r="K99" s="273">
        <f t="shared" si="12"/>
        <v>88.135184</v>
      </c>
      <c r="L99" s="379">
        <f t="shared" si="11"/>
        <v>0</v>
      </c>
      <c r="M99" s="159"/>
      <c r="N99" s="159"/>
      <c r="O99" s="273">
        <f>(K99*$O$9)+K99</f>
        <v>88.135184</v>
      </c>
      <c r="P99" s="273">
        <f>(O99*$P$9)+O99</f>
        <v>88.135184</v>
      </c>
    </row>
    <row r="100" spans="1:16" ht="13.5">
      <c r="A100" s="163" t="s">
        <v>414</v>
      </c>
      <c r="B100" s="163">
        <v>1309</v>
      </c>
      <c r="C100" s="381">
        <v>22</v>
      </c>
      <c r="D100" s="166">
        <v>24.200000000000003</v>
      </c>
      <c r="E100" s="377">
        <v>0.10000000000000013</v>
      </c>
      <c r="F100" s="387">
        <v>28</v>
      </c>
      <c r="G100" s="81">
        <v>29.68</v>
      </c>
      <c r="H100" s="273">
        <f>G100*1.06</f>
        <v>31.460800000000003</v>
      </c>
      <c r="I100" s="273">
        <v>33.348448000000005</v>
      </c>
      <c r="J100" s="273">
        <v>35.34935488000001</v>
      </c>
      <c r="K100" s="273">
        <f t="shared" si="12"/>
        <v>35.34935488000001</v>
      </c>
      <c r="L100" s="379">
        <f t="shared" si="11"/>
        <v>0</v>
      </c>
      <c r="M100" s="155"/>
      <c r="N100" s="155"/>
      <c r="O100" s="273">
        <f>(K100*$O$9)+K100</f>
        <v>35.34935488000001</v>
      </c>
      <c r="P100" s="273">
        <f>(O100*$P$9)+O100</f>
        <v>35.34935488000001</v>
      </c>
    </row>
    <row r="101" spans="1:16" ht="13.5">
      <c r="A101" s="163" t="s">
        <v>415</v>
      </c>
      <c r="B101" s="163">
        <v>1309</v>
      </c>
      <c r="C101" s="381">
        <v>11</v>
      </c>
      <c r="D101" s="166">
        <v>12.100000000000001</v>
      </c>
      <c r="E101" s="377">
        <v>0.10000000000000013</v>
      </c>
      <c r="F101" s="387">
        <v>14</v>
      </c>
      <c r="G101" s="81">
        <v>14.84</v>
      </c>
      <c r="H101" s="273">
        <f>G101*1.06</f>
        <v>15.730400000000001</v>
      </c>
      <c r="I101" s="273">
        <v>16.674224000000002</v>
      </c>
      <c r="J101" s="273">
        <v>17.674677440000004</v>
      </c>
      <c r="K101" s="273">
        <f t="shared" si="12"/>
        <v>17.674677440000004</v>
      </c>
      <c r="L101" s="379">
        <f t="shared" si="11"/>
        <v>0</v>
      </c>
      <c r="M101" s="155"/>
      <c r="N101" s="155"/>
      <c r="O101" s="273">
        <f>(K101*$O$9)+K101</f>
        <v>17.674677440000004</v>
      </c>
      <c r="P101" s="273">
        <f>(O101*$P$9)+O101</f>
        <v>17.674677440000004</v>
      </c>
    </row>
    <row r="102" spans="1:16" ht="13.5">
      <c r="A102" s="368"/>
      <c r="B102" s="367"/>
      <c r="C102" s="367"/>
      <c r="D102" s="166"/>
      <c r="E102" s="377"/>
      <c r="F102" s="403"/>
      <c r="G102" s="81"/>
      <c r="H102" s="273"/>
      <c r="I102" s="273"/>
      <c r="J102" s="273"/>
      <c r="K102" s="273"/>
      <c r="L102" s="379"/>
      <c r="M102" s="155"/>
      <c r="N102" s="155"/>
      <c r="O102" s="273"/>
      <c r="P102" s="273"/>
    </row>
    <row r="103" spans="1:16" s="558" customFormat="1" ht="13.5">
      <c r="A103" s="160" t="s">
        <v>408</v>
      </c>
      <c r="B103" s="160"/>
      <c r="C103" s="367"/>
      <c r="D103" s="166"/>
      <c r="E103" s="377"/>
      <c r="F103" s="403"/>
      <c r="G103" s="81"/>
      <c r="H103" s="273"/>
      <c r="I103" s="273"/>
      <c r="J103" s="273"/>
      <c r="K103" s="273"/>
      <c r="L103" s="379"/>
      <c r="M103" s="159"/>
      <c r="N103" s="159"/>
      <c r="O103" s="273"/>
      <c r="P103" s="273"/>
    </row>
    <row r="104" spans="1:16" s="558" customFormat="1" ht="13.5">
      <c r="A104" s="160" t="s">
        <v>219</v>
      </c>
      <c r="B104" s="160"/>
      <c r="C104" s="367"/>
      <c r="D104" s="166"/>
      <c r="E104" s="377"/>
      <c r="F104" s="403"/>
      <c r="G104" s="81"/>
      <c r="H104" s="273"/>
      <c r="I104" s="273"/>
      <c r="J104" s="273"/>
      <c r="K104" s="273"/>
      <c r="L104" s="379"/>
      <c r="M104" s="159"/>
      <c r="N104" s="159"/>
      <c r="O104" s="273"/>
      <c r="P104" s="273"/>
    </row>
    <row r="105" spans="1:16" ht="13.5">
      <c r="A105" s="163" t="s">
        <v>220</v>
      </c>
      <c r="B105" s="163">
        <v>1309</v>
      </c>
      <c r="C105" s="380">
        <v>66.55</v>
      </c>
      <c r="D105" s="166">
        <v>73.205</v>
      </c>
      <c r="E105" s="377">
        <v>0.10000000000000002</v>
      </c>
      <c r="F105" s="387">
        <v>85</v>
      </c>
      <c r="G105" s="81">
        <v>90.10000000000001</v>
      </c>
      <c r="H105" s="273">
        <f>G105*1.06</f>
        <v>95.50600000000001</v>
      </c>
      <c r="I105" s="273">
        <v>101.23636000000002</v>
      </c>
      <c r="J105" s="273">
        <v>107.31054160000002</v>
      </c>
      <c r="K105" s="273">
        <f t="shared" si="12"/>
        <v>107.31054160000002</v>
      </c>
      <c r="L105" s="379">
        <f t="shared" si="11"/>
        <v>0</v>
      </c>
      <c r="M105" s="155"/>
      <c r="N105" s="155"/>
      <c r="O105" s="273">
        <f>(K105*$O$9)+K105</f>
        <v>107.31054160000002</v>
      </c>
      <c r="P105" s="273">
        <f>(O105*$P$9)+O105</f>
        <v>107.31054160000002</v>
      </c>
    </row>
    <row r="106" spans="1:16" ht="13.5">
      <c r="A106" s="163" t="s">
        <v>221</v>
      </c>
      <c r="B106" s="163">
        <v>1309</v>
      </c>
      <c r="C106" s="380">
        <v>54.45</v>
      </c>
      <c r="D106" s="166">
        <v>59.89500000000001</v>
      </c>
      <c r="E106" s="377">
        <v>0.10000000000000013</v>
      </c>
      <c r="F106" s="387">
        <v>69</v>
      </c>
      <c r="G106" s="81">
        <v>73.14</v>
      </c>
      <c r="H106" s="273">
        <f>G106*1.06</f>
        <v>77.5284</v>
      </c>
      <c r="I106" s="273">
        <v>82.180104</v>
      </c>
      <c r="J106" s="273">
        <v>87.11091024</v>
      </c>
      <c r="K106" s="273">
        <f t="shared" si="12"/>
        <v>87.11091024</v>
      </c>
      <c r="L106" s="379">
        <f t="shared" si="11"/>
        <v>0</v>
      </c>
      <c r="O106" s="273">
        <f>(K106*$O$9)+K106</f>
        <v>87.11091024</v>
      </c>
      <c r="P106" s="273">
        <f>(O106*$P$9)+O106</f>
        <v>87.11091024</v>
      </c>
    </row>
    <row r="107" spans="1:16" ht="13.5">
      <c r="A107" s="163" t="s">
        <v>222</v>
      </c>
      <c r="B107" s="163">
        <v>1309</v>
      </c>
      <c r="C107" s="380">
        <v>42.35</v>
      </c>
      <c r="D107" s="166">
        <v>46.58500000000001</v>
      </c>
      <c r="E107" s="377">
        <v>0.10000000000000014</v>
      </c>
      <c r="F107" s="387">
        <v>54</v>
      </c>
      <c r="G107" s="81">
        <v>57.24</v>
      </c>
      <c r="H107" s="273">
        <f>G107*1.06</f>
        <v>60.674400000000006</v>
      </c>
      <c r="I107" s="273">
        <v>64.314864</v>
      </c>
      <c r="J107" s="273">
        <v>68.17375584</v>
      </c>
      <c r="K107" s="273">
        <f t="shared" si="12"/>
        <v>68.17375584</v>
      </c>
      <c r="L107" s="379">
        <f t="shared" si="11"/>
        <v>0</v>
      </c>
      <c r="O107" s="273">
        <f>(K107*$O$9)+K107</f>
        <v>68.17375584</v>
      </c>
      <c r="P107" s="273">
        <f>(O107*$P$9)+O107</f>
        <v>68.17375584</v>
      </c>
    </row>
    <row r="108" spans="1:16" ht="13.5">
      <c r="A108" s="163" t="s">
        <v>223</v>
      </c>
      <c r="B108" s="163">
        <v>1309</v>
      </c>
      <c r="C108" s="380">
        <v>11</v>
      </c>
      <c r="D108" s="166">
        <v>12.100000000000001</v>
      </c>
      <c r="E108" s="377">
        <v>0.10000000000000013</v>
      </c>
      <c r="F108" s="387">
        <v>14</v>
      </c>
      <c r="G108" s="81">
        <v>14.84</v>
      </c>
      <c r="H108" s="273">
        <f>G108*1.06</f>
        <v>15.730400000000001</v>
      </c>
      <c r="I108" s="273">
        <v>16.674224000000002</v>
      </c>
      <c r="J108" s="273">
        <v>17.674677440000004</v>
      </c>
      <c r="K108" s="273">
        <f t="shared" si="12"/>
        <v>17.674677440000004</v>
      </c>
      <c r="L108" s="379">
        <f t="shared" si="11"/>
        <v>0</v>
      </c>
      <c r="O108" s="273">
        <f>(K108*$O$9)+K108</f>
        <v>17.674677440000004</v>
      </c>
      <c r="P108" s="273">
        <f>(O108*$P$9)+O108</f>
        <v>17.674677440000004</v>
      </c>
    </row>
    <row r="109" spans="1:16" ht="13.5">
      <c r="A109" s="163" t="s">
        <v>224</v>
      </c>
      <c r="B109" s="163">
        <v>1309</v>
      </c>
      <c r="C109" s="380">
        <v>5.5</v>
      </c>
      <c r="D109" s="166">
        <v>6.050000000000001</v>
      </c>
      <c r="E109" s="377">
        <v>0.10000000000000013</v>
      </c>
      <c r="F109" s="387">
        <v>6.534000000000002</v>
      </c>
      <c r="G109" s="81">
        <v>6.926040000000002</v>
      </c>
      <c r="H109" s="273">
        <f>G109*1.06</f>
        <v>7.341602400000003</v>
      </c>
      <c r="I109" s="273">
        <v>7.782098544000003</v>
      </c>
      <c r="J109" s="273">
        <v>8.249024456640003</v>
      </c>
      <c r="K109" s="273">
        <f t="shared" si="12"/>
        <v>8.249024456640003</v>
      </c>
      <c r="L109" s="379">
        <f t="shared" si="11"/>
        <v>0</v>
      </c>
      <c r="O109" s="273">
        <f>(K109*$O$9)+K109</f>
        <v>8.249024456640003</v>
      </c>
      <c r="P109" s="273">
        <f>(O109*$P$9)+O109</f>
        <v>8.249024456640003</v>
      </c>
    </row>
    <row r="110" spans="1:16" ht="13.5">
      <c r="A110" s="160" t="s">
        <v>409</v>
      </c>
      <c r="B110" s="160"/>
      <c r="C110" s="367"/>
      <c r="D110" s="166"/>
      <c r="E110" s="377"/>
      <c r="F110" s="382"/>
      <c r="G110" s="81"/>
      <c r="H110" s="273"/>
      <c r="I110" s="273"/>
      <c r="J110" s="273"/>
      <c r="K110" s="273"/>
      <c r="L110" s="379"/>
      <c r="O110" s="273"/>
      <c r="P110" s="273"/>
    </row>
    <row r="111" spans="1:16" ht="13.5">
      <c r="A111" s="163" t="s">
        <v>410</v>
      </c>
      <c r="B111" s="163"/>
      <c r="C111" s="367"/>
      <c r="D111" s="166"/>
      <c r="E111" s="377"/>
      <c r="F111" s="382"/>
      <c r="G111" s="81"/>
      <c r="H111" s="273"/>
      <c r="I111" s="273"/>
      <c r="J111" s="273"/>
      <c r="K111" s="273"/>
      <c r="L111" s="379"/>
      <c r="O111" s="273"/>
      <c r="P111" s="273"/>
    </row>
    <row r="112" spans="1:16" ht="13.5">
      <c r="A112" s="163" t="s">
        <v>411</v>
      </c>
      <c r="B112" s="163">
        <v>1309</v>
      </c>
      <c r="C112" s="380">
        <v>193.6</v>
      </c>
      <c r="D112" s="166">
        <v>212.96</v>
      </c>
      <c r="E112" s="377">
        <v>0.10000000000000007</v>
      </c>
      <c r="F112" s="387">
        <v>246</v>
      </c>
      <c r="G112" s="81">
        <v>260.76</v>
      </c>
      <c r="H112" s="273">
        <f>G112*1.06</f>
        <v>276.4056</v>
      </c>
      <c r="I112" s="273">
        <v>292.989936</v>
      </c>
      <c r="J112" s="273">
        <v>310.56933216</v>
      </c>
      <c r="K112" s="273">
        <f t="shared" si="12"/>
        <v>310.56933216</v>
      </c>
      <c r="L112" s="379">
        <f t="shared" si="11"/>
        <v>0</v>
      </c>
      <c r="O112" s="273">
        <f>(K112*$O$9)+K112</f>
        <v>310.56933216</v>
      </c>
      <c r="P112" s="273">
        <f>(O112*$P$9)+O112</f>
        <v>310.56933216</v>
      </c>
    </row>
    <row r="113" spans="1:16" ht="13.5">
      <c r="A113" s="163" t="s">
        <v>412</v>
      </c>
      <c r="B113" s="163">
        <v>1309</v>
      </c>
      <c r="C113" s="380">
        <v>96.8</v>
      </c>
      <c r="D113" s="166">
        <v>106.48</v>
      </c>
      <c r="E113" s="377">
        <v>0.10000000000000007</v>
      </c>
      <c r="F113" s="387">
        <v>123</v>
      </c>
      <c r="G113" s="81">
        <v>130.38</v>
      </c>
      <c r="H113" s="273">
        <f>G113*1.06</f>
        <v>138.2028</v>
      </c>
      <c r="I113" s="273">
        <v>146.494968</v>
      </c>
      <c r="J113" s="273">
        <v>155.28466608</v>
      </c>
      <c r="K113" s="273">
        <f t="shared" si="12"/>
        <v>155.28466608</v>
      </c>
      <c r="L113" s="379">
        <f aca="true" t="shared" si="13" ref="L113:L128">$L$9</f>
        <v>0</v>
      </c>
      <c r="O113" s="273">
        <f>(K113*$O$9)+K113</f>
        <v>155.28466608</v>
      </c>
      <c r="P113" s="273">
        <f>(O113*$P$9)+O113</f>
        <v>155.28466608</v>
      </c>
    </row>
    <row r="114" spans="1:16" ht="13.5">
      <c r="A114" s="163" t="s">
        <v>413</v>
      </c>
      <c r="B114" s="163">
        <v>1309</v>
      </c>
      <c r="C114" s="380">
        <v>48.4</v>
      </c>
      <c r="D114" s="166">
        <v>53.24</v>
      </c>
      <c r="E114" s="377">
        <v>0.10000000000000007</v>
      </c>
      <c r="F114" s="387">
        <v>62</v>
      </c>
      <c r="G114" s="81">
        <v>65.72</v>
      </c>
      <c r="H114" s="273">
        <f>G114*1.06</f>
        <v>69.6632</v>
      </c>
      <c r="I114" s="273">
        <v>73.84299200000001</v>
      </c>
      <c r="J114" s="273">
        <v>78.27357152</v>
      </c>
      <c r="K114" s="273">
        <f t="shared" si="12"/>
        <v>78.27357152</v>
      </c>
      <c r="L114" s="379">
        <f t="shared" si="13"/>
        <v>0</v>
      </c>
      <c r="O114" s="273">
        <f>(K114*$O$9)+K114</f>
        <v>78.27357152</v>
      </c>
      <c r="P114" s="273">
        <f>(O114*$P$9)+O114</f>
        <v>78.27357152</v>
      </c>
    </row>
    <row r="115" spans="1:16" ht="13.5">
      <c r="A115" s="163" t="s">
        <v>414</v>
      </c>
      <c r="B115" s="163">
        <v>1309</v>
      </c>
      <c r="C115" s="380">
        <v>24.2</v>
      </c>
      <c r="D115" s="166">
        <v>26.62</v>
      </c>
      <c r="E115" s="377">
        <v>0.10000000000000007</v>
      </c>
      <c r="F115" s="387">
        <v>31</v>
      </c>
      <c r="G115" s="81">
        <v>32.86</v>
      </c>
      <c r="H115" s="273">
        <f>G115*1.06</f>
        <v>34.8316</v>
      </c>
      <c r="I115" s="273">
        <v>36.921496000000005</v>
      </c>
      <c r="J115" s="273">
        <v>39.13678576</v>
      </c>
      <c r="K115" s="273">
        <f t="shared" si="12"/>
        <v>39.13678576</v>
      </c>
      <c r="L115" s="379">
        <f t="shared" si="13"/>
        <v>0</v>
      </c>
      <c r="O115" s="273">
        <f>(K115*$O$9)+K115</f>
        <v>39.13678576</v>
      </c>
      <c r="P115" s="273">
        <f>(O115*$P$9)+O115</f>
        <v>39.13678576</v>
      </c>
    </row>
    <row r="116" spans="1:16" ht="13.5">
      <c r="A116" s="163" t="s">
        <v>415</v>
      </c>
      <c r="B116" s="163">
        <v>1309</v>
      </c>
      <c r="C116" s="380">
        <v>12.1</v>
      </c>
      <c r="D116" s="166">
        <v>13.31</v>
      </c>
      <c r="E116" s="377">
        <v>0.10000000000000007</v>
      </c>
      <c r="F116" s="387">
        <v>15</v>
      </c>
      <c r="G116" s="81">
        <v>15.9</v>
      </c>
      <c r="H116" s="273">
        <f>G116*1.06</f>
        <v>16.854000000000003</v>
      </c>
      <c r="I116" s="273">
        <v>17.865240000000004</v>
      </c>
      <c r="J116" s="273">
        <v>18.937154400000004</v>
      </c>
      <c r="K116" s="273">
        <f t="shared" si="12"/>
        <v>18.937154400000004</v>
      </c>
      <c r="L116" s="379">
        <f t="shared" si="13"/>
        <v>0</v>
      </c>
      <c r="O116" s="273">
        <f>(K116*$O$9)+K116</f>
        <v>18.937154400000004</v>
      </c>
      <c r="P116" s="273">
        <f>(O116*$P$9)+O116</f>
        <v>18.937154400000004</v>
      </c>
    </row>
    <row r="117" spans="1:16" ht="13.5">
      <c r="A117" s="163" t="s">
        <v>416</v>
      </c>
      <c r="B117" s="163"/>
      <c r="C117" s="406"/>
      <c r="D117" s="166"/>
      <c r="E117" s="377"/>
      <c r="F117" s="403"/>
      <c r="G117" s="81"/>
      <c r="H117" s="273"/>
      <c r="I117" s="273"/>
      <c r="J117" s="273"/>
      <c r="K117" s="273"/>
      <c r="L117" s="379"/>
      <c r="O117" s="273"/>
      <c r="P117" s="273"/>
    </row>
    <row r="118" spans="1:16" ht="13.5">
      <c r="A118" s="163" t="s">
        <v>411</v>
      </c>
      <c r="B118" s="163">
        <v>1309</v>
      </c>
      <c r="C118" s="380">
        <v>544.5</v>
      </c>
      <c r="D118" s="166">
        <v>598.95</v>
      </c>
      <c r="E118" s="377">
        <v>0.10000000000000009</v>
      </c>
      <c r="F118" s="387">
        <v>692</v>
      </c>
      <c r="G118" s="81">
        <v>733.52</v>
      </c>
      <c r="H118" s="273">
        <f>G118*1.06</f>
        <v>777.5312</v>
      </c>
      <c r="I118" s="273">
        <v>824.183072</v>
      </c>
      <c r="J118" s="273">
        <v>873.63405632</v>
      </c>
      <c r="K118" s="273">
        <f t="shared" si="12"/>
        <v>873.63405632</v>
      </c>
      <c r="L118" s="379">
        <f t="shared" si="13"/>
        <v>0</v>
      </c>
      <c r="O118" s="273">
        <f>(K118*$O$9)+K118</f>
        <v>873.63405632</v>
      </c>
      <c r="P118" s="273">
        <f>(O118*$P$9)+O118</f>
        <v>873.63405632</v>
      </c>
    </row>
    <row r="119" spans="1:16" ht="13.5">
      <c r="A119" s="163" t="s">
        <v>412</v>
      </c>
      <c r="B119" s="163">
        <v>1309</v>
      </c>
      <c r="C119" s="380">
        <v>278.3</v>
      </c>
      <c r="D119" s="166">
        <v>306.13000000000005</v>
      </c>
      <c r="E119" s="377">
        <v>0.10000000000000014</v>
      </c>
      <c r="F119" s="387">
        <v>354</v>
      </c>
      <c r="G119" s="81">
        <v>375.24</v>
      </c>
      <c r="H119" s="273">
        <f>G119*1.06</f>
        <v>397.75440000000003</v>
      </c>
      <c r="I119" s="273">
        <v>421.61966400000006</v>
      </c>
      <c r="J119" s="273">
        <v>446.91684384000007</v>
      </c>
      <c r="K119" s="273">
        <f t="shared" si="12"/>
        <v>446.91684384000007</v>
      </c>
      <c r="L119" s="379">
        <f t="shared" si="13"/>
        <v>0</v>
      </c>
      <c r="O119" s="273">
        <f>(K119*$O$9)+K119</f>
        <v>446.91684384000007</v>
      </c>
      <c r="P119" s="273">
        <f>(O119*$P$9)+O119</f>
        <v>446.91684384000007</v>
      </c>
    </row>
    <row r="120" spans="1:16" ht="13.5">
      <c r="A120" s="163" t="s">
        <v>413</v>
      </c>
      <c r="B120" s="163">
        <v>1309</v>
      </c>
      <c r="C120" s="380">
        <v>145.2</v>
      </c>
      <c r="D120" s="166">
        <v>159.72</v>
      </c>
      <c r="E120" s="377">
        <v>0.10000000000000007</v>
      </c>
      <c r="F120" s="387">
        <v>185</v>
      </c>
      <c r="G120" s="81">
        <v>196.10000000000002</v>
      </c>
      <c r="H120" s="273">
        <f>G120*1.06</f>
        <v>207.86600000000004</v>
      </c>
      <c r="I120" s="273">
        <v>220.33796000000004</v>
      </c>
      <c r="J120" s="273">
        <v>233.55823760000004</v>
      </c>
      <c r="K120" s="273">
        <f t="shared" si="12"/>
        <v>233.55823760000004</v>
      </c>
      <c r="L120" s="379">
        <f t="shared" si="13"/>
        <v>0</v>
      </c>
      <c r="O120" s="273">
        <f>(K120*$O$9)+K120</f>
        <v>233.55823760000004</v>
      </c>
      <c r="P120" s="273">
        <f>(O120*$P$9)+O120</f>
        <v>233.55823760000004</v>
      </c>
    </row>
    <row r="121" spans="1:16" ht="13.5">
      <c r="A121" s="163" t="s">
        <v>414</v>
      </c>
      <c r="B121" s="163">
        <v>1309</v>
      </c>
      <c r="C121" s="380">
        <v>66</v>
      </c>
      <c r="D121" s="166">
        <v>72.60000000000001</v>
      </c>
      <c r="E121" s="377">
        <v>0.10000000000000013</v>
      </c>
      <c r="F121" s="387">
        <v>84</v>
      </c>
      <c r="G121" s="81">
        <v>89.04</v>
      </c>
      <c r="H121" s="273">
        <f>G121*1.06</f>
        <v>94.38240000000002</v>
      </c>
      <c r="I121" s="273">
        <v>100.04534400000001</v>
      </c>
      <c r="J121" s="273">
        <v>106.04806464000002</v>
      </c>
      <c r="K121" s="273">
        <f t="shared" si="12"/>
        <v>106.04806464000002</v>
      </c>
      <c r="L121" s="379">
        <f t="shared" si="13"/>
        <v>0</v>
      </c>
      <c r="O121" s="273">
        <f>(K121*$O$9)+K121</f>
        <v>106.04806464000002</v>
      </c>
      <c r="P121" s="273">
        <f>(O121*$P$9)+O121</f>
        <v>106.04806464000002</v>
      </c>
    </row>
    <row r="122" spans="1:16" ht="13.5">
      <c r="A122" s="163" t="s">
        <v>415</v>
      </c>
      <c r="B122" s="163">
        <v>1309</v>
      </c>
      <c r="C122" s="380">
        <v>33</v>
      </c>
      <c r="D122" s="166">
        <v>36.300000000000004</v>
      </c>
      <c r="E122" s="377">
        <v>0.10000000000000013</v>
      </c>
      <c r="F122" s="387">
        <v>42</v>
      </c>
      <c r="G122" s="81">
        <v>44.52</v>
      </c>
      <c r="H122" s="273">
        <f>G122*1.06</f>
        <v>47.19120000000001</v>
      </c>
      <c r="I122" s="273">
        <v>50.02267200000001</v>
      </c>
      <c r="J122" s="273">
        <v>53.02403232000001</v>
      </c>
      <c r="K122" s="273">
        <f t="shared" si="12"/>
        <v>53.02403232000001</v>
      </c>
      <c r="L122" s="379">
        <f t="shared" si="13"/>
        <v>0</v>
      </c>
      <c r="O122" s="273">
        <f>(K122*$O$9)+K122</f>
        <v>53.02403232000001</v>
      </c>
      <c r="P122" s="273">
        <f>(O122*$P$9)+O122</f>
        <v>53.02403232000001</v>
      </c>
    </row>
    <row r="123" spans="1:16" ht="13.5">
      <c r="A123" s="163" t="s">
        <v>417</v>
      </c>
      <c r="B123" s="163"/>
      <c r="C123" s="406"/>
      <c r="D123" s="166"/>
      <c r="E123" s="377"/>
      <c r="F123" s="382"/>
      <c r="G123" s="81"/>
      <c r="H123" s="273"/>
      <c r="I123" s="273"/>
      <c r="J123" s="273"/>
      <c r="K123" s="273"/>
      <c r="L123" s="379"/>
      <c r="O123" s="273"/>
      <c r="P123" s="273"/>
    </row>
    <row r="124" spans="1:16" ht="13.5">
      <c r="A124" s="163" t="s">
        <v>411</v>
      </c>
      <c r="B124" s="163">
        <v>1309</v>
      </c>
      <c r="C124" s="380">
        <v>187</v>
      </c>
      <c r="D124" s="166">
        <v>205.70000000000002</v>
      </c>
      <c r="E124" s="377">
        <v>0.10000000000000009</v>
      </c>
      <c r="F124" s="387">
        <v>238</v>
      </c>
      <c r="G124" s="81">
        <v>252.28</v>
      </c>
      <c r="H124" s="273">
        <f>G124*1.06</f>
        <v>267.4168</v>
      </c>
      <c r="I124" s="273">
        <v>283.461808</v>
      </c>
      <c r="J124" s="273">
        <v>300.46951648000004</v>
      </c>
      <c r="K124" s="273">
        <f t="shared" si="12"/>
        <v>300.46951648000004</v>
      </c>
      <c r="L124" s="379">
        <f t="shared" si="13"/>
        <v>0</v>
      </c>
      <c r="O124" s="273">
        <f>(K124*$O$9)+K124</f>
        <v>300.46951648000004</v>
      </c>
      <c r="P124" s="273">
        <f>(O124*$P$9)+O124</f>
        <v>300.46951648000004</v>
      </c>
    </row>
    <row r="125" spans="1:16" ht="13.5">
      <c r="A125" s="163" t="s">
        <v>412</v>
      </c>
      <c r="B125" s="163">
        <v>1309</v>
      </c>
      <c r="C125" s="380">
        <v>99</v>
      </c>
      <c r="D125" s="166">
        <v>108.9</v>
      </c>
      <c r="E125" s="377">
        <v>0.10000000000000006</v>
      </c>
      <c r="F125" s="387">
        <v>126</v>
      </c>
      <c r="G125" s="81">
        <v>133.56</v>
      </c>
      <c r="H125" s="273">
        <f>G125*1.06</f>
        <v>141.5736</v>
      </c>
      <c r="I125" s="273">
        <v>150.068016</v>
      </c>
      <c r="J125" s="273">
        <v>159.07209696</v>
      </c>
      <c r="K125" s="273">
        <f t="shared" si="12"/>
        <v>159.07209696</v>
      </c>
      <c r="L125" s="379">
        <f t="shared" si="13"/>
        <v>0</v>
      </c>
      <c r="O125" s="273">
        <f>(K125*$O$9)+K125</f>
        <v>159.07209696</v>
      </c>
      <c r="P125" s="273">
        <f>(O125*$P$9)+O125</f>
        <v>159.07209696</v>
      </c>
    </row>
    <row r="126" spans="1:16" ht="13.5">
      <c r="A126" s="163" t="s">
        <v>413</v>
      </c>
      <c r="B126" s="163">
        <v>1309</v>
      </c>
      <c r="C126" s="380">
        <v>55</v>
      </c>
      <c r="D126" s="166">
        <v>60.50000000000001</v>
      </c>
      <c r="E126" s="377">
        <v>0.10000000000000013</v>
      </c>
      <c r="F126" s="387">
        <v>70</v>
      </c>
      <c r="G126" s="81">
        <v>74.2</v>
      </c>
      <c r="H126" s="273">
        <f>G126*1.06</f>
        <v>78.652</v>
      </c>
      <c r="I126" s="273">
        <v>83.37112</v>
      </c>
      <c r="J126" s="273">
        <v>88.37338720000001</v>
      </c>
      <c r="K126" s="273">
        <f t="shared" si="12"/>
        <v>88.37338720000001</v>
      </c>
      <c r="L126" s="379">
        <f t="shared" si="13"/>
        <v>0</v>
      </c>
      <c r="O126" s="273">
        <f>(K126*$O$9)+K126</f>
        <v>88.37338720000001</v>
      </c>
      <c r="P126" s="273">
        <f>(O126*$P$9)+O126</f>
        <v>88.37338720000001</v>
      </c>
    </row>
    <row r="127" spans="1:16" ht="13.5">
      <c r="A127" s="163" t="s">
        <v>414</v>
      </c>
      <c r="B127" s="163">
        <v>1309</v>
      </c>
      <c r="C127" s="380">
        <v>22</v>
      </c>
      <c r="D127" s="166">
        <v>24.200000000000003</v>
      </c>
      <c r="E127" s="377">
        <v>0.10000000000000013</v>
      </c>
      <c r="F127" s="387">
        <v>28</v>
      </c>
      <c r="G127" s="81">
        <v>29.68</v>
      </c>
      <c r="H127" s="273">
        <f>G127*1.06</f>
        <v>31.460800000000003</v>
      </c>
      <c r="I127" s="273">
        <v>33.348448000000005</v>
      </c>
      <c r="J127" s="273">
        <v>35.34935488000001</v>
      </c>
      <c r="K127" s="273">
        <f t="shared" si="12"/>
        <v>35.34935488000001</v>
      </c>
      <c r="L127" s="379">
        <f t="shared" si="13"/>
        <v>0</v>
      </c>
      <c r="O127" s="273">
        <f>(K127*$O$9)+K127</f>
        <v>35.34935488000001</v>
      </c>
      <c r="P127" s="273">
        <f>(O127*$P$9)+O127</f>
        <v>35.34935488000001</v>
      </c>
    </row>
    <row r="128" spans="1:16" ht="13.5">
      <c r="A128" s="163" t="s">
        <v>415</v>
      </c>
      <c r="B128" s="163">
        <v>1309</v>
      </c>
      <c r="C128" s="380">
        <v>11</v>
      </c>
      <c r="D128" s="166">
        <v>12.100000000000001</v>
      </c>
      <c r="E128" s="377">
        <v>0.10000000000000013</v>
      </c>
      <c r="F128" s="387">
        <v>14</v>
      </c>
      <c r="G128" s="81">
        <v>14.84</v>
      </c>
      <c r="H128" s="273">
        <f>G128*1.06</f>
        <v>15.730400000000001</v>
      </c>
      <c r="I128" s="273">
        <v>16.674224000000002</v>
      </c>
      <c r="J128" s="273">
        <v>17.674677440000004</v>
      </c>
      <c r="K128" s="273">
        <f t="shared" si="12"/>
        <v>17.674677440000004</v>
      </c>
      <c r="L128" s="379">
        <f t="shared" si="13"/>
        <v>0</v>
      </c>
      <c r="O128" s="273">
        <f>(K128*$O$9)+K128</f>
        <v>17.674677440000004</v>
      </c>
      <c r="P128" s="273">
        <f>(O128*$P$9)+O128</f>
        <v>17.674677440000004</v>
      </c>
    </row>
    <row r="129" spans="1:12" ht="13.5">
      <c r="A129" s="368"/>
      <c r="B129" s="367"/>
      <c r="C129" s="367"/>
      <c r="D129" s="367"/>
      <c r="E129" s="367"/>
      <c r="F129" s="367"/>
      <c r="G129" s="166"/>
      <c r="H129" s="166"/>
      <c r="I129" s="407"/>
      <c r="J129" s="407"/>
      <c r="K129" s="407"/>
      <c r="L129" s="367"/>
    </row>
    <row r="130" spans="2:12" ht="13.5">
      <c r="B130" s="367"/>
      <c r="C130" s="367"/>
      <c r="D130" s="367"/>
      <c r="E130" s="367"/>
      <c r="F130" s="367"/>
      <c r="G130" s="166"/>
      <c r="H130" s="166"/>
      <c r="I130" s="407"/>
      <c r="J130" s="407"/>
      <c r="K130" s="407"/>
      <c r="L130" s="367"/>
    </row>
    <row r="131" spans="1:12" ht="27">
      <c r="A131" s="704" t="s">
        <v>1170</v>
      </c>
      <c r="B131" s="174"/>
      <c r="C131" s="174"/>
      <c r="D131" s="166"/>
      <c r="E131" s="174"/>
      <c r="F131" s="560"/>
      <c r="G131" s="560"/>
      <c r="H131" s="560"/>
      <c r="I131" s="407"/>
      <c r="J131" s="407"/>
      <c r="K131" s="407"/>
      <c r="L131" s="174"/>
    </row>
    <row r="132" spans="1:12" ht="13.5">
      <c r="A132" s="331"/>
      <c r="B132" s="174"/>
      <c r="C132" s="174"/>
      <c r="D132" s="166"/>
      <c r="E132" s="174"/>
      <c r="F132" s="560"/>
      <c r="G132" s="560"/>
      <c r="H132" s="560"/>
      <c r="I132" s="407"/>
      <c r="J132" s="407"/>
      <c r="K132" s="407"/>
      <c r="L132" s="174"/>
    </row>
    <row r="133" spans="1:12" ht="13.5">
      <c r="A133" s="383"/>
      <c r="B133" s="163"/>
      <c r="C133" s="381"/>
      <c r="D133" s="166"/>
      <c r="E133" s="377"/>
      <c r="F133" s="387"/>
      <c r="G133" s="81"/>
      <c r="H133" s="273"/>
      <c r="I133" s="273"/>
      <c r="J133" s="273"/>
      <c r="K133" s="273"/>
      <c r="L133" s="379"/>
    </row>
    <row r="134" spans="1:12" ht="13.5">
      <c r="A134" s="383"/>
      <c r="B134" s="163"/>
      <c r="C134" s="381"/>
      <c r="D134" s="166"/>
      <c r="E134" s="377"/>
      <c r="F134" s="387"/>
      <c r="G134" s="81"/>
      <c r="H134" s="273"/>
      <c r="I134" s="273"/>
      <c r="J134" s="273"/>
      <c r="K134" s="273"/>
      <c r="L134" s="379"/>
    </row>
    <row r="135" spans="1:12" ht="13.5">
      <c r="A135" s="383"/>
      <c r="B135" s="163"/>
      <c r="C135" s="381"/>
      <c r="D135" s="166"/>
      <c r="E135" s="377"/>
      <c r="F135" s="387"/>
      <c r="G135" s="81"/>
      <c r="H135" s="273"/>
      <c r="I135" s="273"/>
      <c r="J135" s="273"/>
      <c r="K135" s="273"/>
      <c r="L135" s="379"/>
    </row>
    <row r="136" spans="1:12" ht="13.5">
      <c r="A136" s="383"/>
      <c r="B136" s="163"/>
      <c r="C136" s="381"/>
      <c r="D136" s="166"/>
      <c r="E136" s="377"/>
      <c r="F136" s="387"/>
      <c r="G136" s="81"/>
      <c r="H136" s="273"/>
      <c r="I136" s="273"/>
      <c r="J136" s="273"/>
      <c r="K136" s="273"/>
      <c r="L136" s="379"/>
    </row>
    <row r="137" spans="1:12" ht="13.5">
      <c r="A137" s="383"/>
      <c r="B137" s="163"/>
      <c r="C137" s="381"/>
      <c r="D137" s="166"/>
      <c r="E137" s="377"/>
      <c r="F137" s="387"/>
      <c r="G137" s="81"/>
      <c r="H137" s="273"/>
      <c r="I137" s="273"/>
      <c r="J137" s="273"/>
      <c r="K137" s="273"/>
      <c r="L137" s="379"/>
    </row>
    <row r="138" spans="1:12" ht="13.5">
      <c r="A138" s="383"/>
      <c r="B138" s="163"/>
      <c r="C138" s="381"/>
      <c r="D138" s="166"/>
      <c r="E138" s="377"/>
      <c r="F138" s="387"/>
      <c r="G138" s="81"/>
      <c r="H138" s="273"/>
      <c r="I138" s="273"/>
      <c r="J138" s="273"/>
      <c r="K138" s="273"/>
      <c r="L138" s="379"/>
    </row>
    <row r="139" spans="1:12" ht="13.5">
      <c r="A139" s="383"/>
      <c r="B139" s="163"/>
      <c r="C139" s="381"/>
      <c r="D139" s="166"/>
      <c r="E139" s="377"/>
      <c r="F139" s="387"/>
      <c r="G139" s="81"/>
      <c r="H139" s="273"/>
      <c r="I139" s="273"/>
      <c r="J139" s="273"/>
      <c r="K139" s="273"/>
      <c r="L139" s="379"/>
    </row>
    <row r="140" spans="1:12" ht="13.5">
      <c r="A140" s="383"/>
      <c r="B140" s="163"/>
      <c r="C140" s="381"/>
      <c r="D140" s="166"/>
      <c r="E140" s="377"/>
      <c r="F140" s="387"/>
      <c r="G140" s="81"/>
      <c r="H140" s="273"/>
      <c r="I140" s="273"/>
      <c r="J140" s="273"/>
      <c r="K140" s="273"/>
      <c r="L140" s="379"/>
    </row>
    <row r="141" spans="1:12" ht="13.5">
      <c r="A141" s="383"/>
      <c r="B141" s="163"/>
      <c r="C141" s="381"/>
      <c r="D141" s="166"/>
      <c r="E141" s="377"/>
      <c r="F141" s="387"/>
      <c r="G141" s="81"/>
      <c r="H141" s="273"/>
      <c r="I141" s="273"/>
      <c r="J141" s="273"/>
      <c r="K141" s="273"/>
      <c r="L141" s="379"/>
    </row>
    <row r="142" spans="1:12" ht="13.5">
      <c r="A142" s="383"/>
      <c r="B142" s="163"/>
      <c r="C142" s="381"/>
      <c r="D142" s="166"/>
      <c r="E142" s="377"/>
      <c r="F142" s="387"/>
      <c r="G142" s="81"/>
      <c r="H142" s="273"/>
      <c r="I142" s="273"/>
      <c r="J142" s="273"/>
      <c r="K142" s="273"/>
      <c r="L142" s="379"/>
    </row>
    <row r="143" spans="1:12" ht="13.5">
      <c r="A143" s="383"/>
      <c r="B143" s="163"/>
      <c r="C143" s="381"/>
      <c r="D143" s="166"/>
      <c r="E143" s="377"/>
      <c r="F143" s="387"/>
      <c r="G143" s="81"/>
      <c r="H143" s="273"/>
      <c r="I143" s="273"/>
      <c r="J143" s="273"/>
      <c r="K143" s="273"/>
      <c r="L143" s="379"/>
    </row>
    <row r="144" spans="1:12" ht="13.5">
      <c r="A144" s="383"/>
      <c r="B144" s="163"/>
      <c r="C144" s="381"/>
      <c r="D144" s="166"/>
      <c r="E144" s="377"/>
      <c r="F144" s="387"/>
      <c r="G144" s="81"/>
      <c r="H144" s="273"/>
      <c r="I144" s="273"/>
      <c r="J144" s="273"/>
      <c r="K144" s="273"/>
      <c r="L144" s="379"/>
    </row>
    <row r="145" spans="1:12" ht="13.5">
      <c r="A145" s="383"/>
      <c r="B145" s="163"/>
      <c r="C145" s="381"/>
      <c r="D145" s="166"/>
      <c r="E145" s="377"/>
      <c r="F145" s="387"/>
      <c r="G145" s="81"/>
      <c r="H145" s="273"/>
      <c r="I145" s="273"/>
      <c r="J145" s="273"/>
      <c r="K145" s="273"/>
      <c r="L145" s="379"/>
    </row>
    <row r="146" spans="1:12" ht="13.5">
      <c r="A146" s="383"/>
      <c r="B146" s="163"/>
      <c r="C146" s="381"/>
      <c r="D146" s="166"/>
      <c r="E146" s="377"/>
      <c r="F146" s="387"/>
      <c r="G146" s="81"/>
      <c r="H146" s="273"/>
      <c r="I146" s="273"/>
      <c r="J146" s="273"/>
      <c r="K146" s="273"/>
      <c r="L146" s="379"/>
    </row>
    <row r="147" spans="1:12" ht="13.5">
      <c r="A147" s="383"/>
      <c r="B147" s="163"/>
      <c r="C147" s="381"/>
      <c r="D147" s="166"/>
      <c r="E147" s="377"/>
      <c r="F147" s="387"/>
      <c r="G147" s="81"/>
      <c r="H147" s="273"/>
      <c r="I147" s="273"/>
      <c r="J147" s="273"/>
      <c r="K147" s="273"/>
      <c r="L147" s="379"/>
    </row>
    <row r="148" spans="1:12" ht="13.5">
      <c r="A148" s="383"/>
      <c r="B148" s="163"/>
      <c r="C148" s="381"/>
      <c r="D148" s="166"/>
      <c r="E148" s="377"/>
      <c r="F148" s="387"/>
      <c r="G148" s="81"/>
      <c r="H148" s="273"/>
      <c r="I148" s="273"/>
      <c r="J148" s="273"/>
      <c r="K148" s="273"/>
      <c r="L148" s="379"/>
    </row>
    <row r="149" spans="1:12" ht="13.5">
      <c r="A149" s="383"/>
      <c r="B149" s="163"/>
      <c r="C149" s="381"/>
      <c r="D149" s="166"/>
      <c r="E149" s="377"/>
      <c r="F149" s="387"/>
      <c r="G149" s="81"/>
      <c r="H149" s="273"/>
      <c r="I149" s="273"/>
      <c r="J149" s="273"/>
      <c r="K149" s="273"/>
      <c r="L149" s="379"/>
    </row>
    <row r="150" spans="1:12" ht="13.5">
      <c r="A150" s="383"/>
      <c r="B150" s="163"/>
      <c r="C150" s="381"/>
      <c r="D150" s="166"/>
      <c r="E150" s="377"/>
      <c r="F150" s="387"/>
      <c r="G150" s="81"/>
      <c r="H150" s="273"/>
      <c r="I150" s="273"/>
      <c r="J150" s="273"/>
      <c r="K150" s="273"/>
      <c r="L150" s="379"/>
    </row>
    <row r="151" spans="1:12" ht="13.5">
      <c r="A151" s="383"/>
      <c r="B151" s="163"/>
      <c r="C151" s="381"/>
      <c r="D151" s="166"/>
      <c r="E151" s="377"/>
      <c r="F151" s="387"/>
      <c r="G151" s="81"/>
      <c r="H151" s="273"/>
      <c r="I151" s="273"/>
      <c r="J151" s="273"/>
      <c r="K151" s="273"/>
      <c r="L151" s="379"/>
    </row>
    <row r="152" spans="1:12" ht="13.5">
      <c r="A152" s="383"/>
      <c r="B152" s="163"/>
      <c r="C152" s="381"/>
      <c r="D152" s="166"/>
      <c r="E152" s="377"/>
      <c r="F152" s="387"/>
      <c r="G152" s="81"/>
      <c r="H152" s="273"/>
      <c r="I152" s="273"/>
      <c r="J152" s="273"/>
      <c r="K152" s="273"/>
      <c r="L152" s="379"/>
    </row>
    <row r="153" spans="1:12" ht="13.5">
      <c r="A153" s="383"/>
      <c r="B153" s="163"/>
      <c r="C153" s="381"/>
      <c r="D153" s="166"/>
      <c r="E153" s="377"/>
      <c r="F153" s="387"/>
      <c r="G153" s="81"/>
      <c r="H153" s="273"/>
      <c r="I153" s="273"/>
      <c r="J153" s="273"/>
      <c r="K153" s="273"/>
      <c r="L153" s="379"/>
    </row>
    <row r="154" spans="1:12" ht="13.5">
      <c r="A154" s="383"/>
      <c r="B154" s="163"/>
      <c r="C154" s="381"/>
      <c r="D154" s="166"/>
      <c r="E154" s="377"/>
      <c r="F154" s="387"/>
      <c r="G154" s="81"/>
      <c r="H154" s="273"/>
      <c r="I154" s="273"/>
      <c r="J154" s="273"/>
      <c r="K154" s="273"/>
      <c r="L154" s="379"/>
    </row>
    <row r="155" spans="1:12" ht="13.5">
      <c r="A155" s="383"/>
      <c r="B155" s="163"/>
      <c r="C155" s="381"/>
      <c r="D155" s="166"/>
      <c r="E155" s="377"/>
      <c r="F155" s="387"/>
      <c r="G155" s="81"/>
      <c r="H155" s="273"/>
      <c r="I155" s="273"/>
      <c r="J155" s="273"/>
      <c r="K155" s="273"/>
      <c r="L155" s="379"/>
    </row>
    <row r="156" spans="1:12" ht="13.5">
      <c r="A156" s="383"/>
      <c r="B156" s="163"/>
      <c r="C156" s="381"/>
      <c r="D156" s="166"/>
      <c r="E156" s="377"/>
      <c r="F156" s="387"/>
      <c r="G156" s="81"/>
      <c r="H156" s="273"/>
      <c r="I156" s="273"/>
      <c r="J156" s="273"/>
      <c r="K156" s="273"/>
      <c r="L156" s="379"/>
    </row>
    <row r="157" spans="1:12" ht="13.5">
      <c r="A157" s="383"/>
      <c r="B157" s="163"/>
      <c r="C157" s="381"/>
      <c r="D157" s="166"/>
      <c r="E157" s="377"/>
      <c r="F157" s="387"/>
      <c r="G157" s="81"/>
      <c r="H157" s="273"/>
      <c r="I157" s="273"/>
      <c r="J157" s="273"/>
      <c r="K157" s="273"/>
      <c r="L157" s="379"/>
    </row>
    <row r="158" spans="1:12" ht="13.5">
      <c r="A158" s="383"/>
      <c r="B158" s="163"/>
      <c r="C158" s="381"/>
      <c r="D158" s="166"/>
      <c r="E158" s="377"/>
      <c r="F158" s="387"/>
      <c r="G158" s="81"/>
      <c r="H158" s="273"/>
      <c r="I158" s="273"/>
      <c r="J158" s="273"/>
      <c r="K158" s="273"/>
      <c r="L158" s="379"/>
    </row>
    <row r="159" spans="1:12" ht="13.5">
      <c r="A159" s="383"/>
      <c r="B159" s="163"/>
      <c r="C159" s="381"/>
      <c r="D159" s="166"/>
      <c r="E159" s="377"/>
      <c r="F159" s="387"/>
      <c r="G159" s="81"/>
      <c r="H159" s="273"/>
      <c r="I159" s="273"/>
      <c r="J159" s="273"/>
      <c r="K159" s="273"/>
      <c r="L159" s="379"/>
    </row>
    <row r="160" spans="1:12" ht="13.5">
      <c r="A160" s="383"/>
      <c r="B160" s="163"/>
      <c r="C160" s="381"/>
      <c r="D160" s="166"/>
      <c r="E160" s="377"/>
      <c r="F160" s="387"/>
      <c r="G160" s="81"/>
      <c r="H160" s="273"/>
      <c r="I160" s="273"/>
      <c r="J160" s="273"/>
      <c r="K160" s="273"/>
      <c r="L160" s="379"/>
    </row>
    <row r="161" spans="1:12" ht="13.5">
      <c r="A161" s="383"/>
      <c r="B161" s="163"/>
      <c r="C161" s="381"/>
      <c r="D161" s="166"/>
      <c r="E161" s="377"/>
      <c r="F161" s="387"/>
      <c r="G161" s="81"/>
      <c r="H161" s="273"/>
      <c r="I161" s="273"/>
      <c r="J161" s="273"/>
      <c r="K161" s="273"/>
      <c r="L161" s="379"/>
    </row>
    <row r="162" spans="1:12" ht="13.5">
      <c r="A162" s="383"/>
      <c r="B162" s="163"/>
      <c r="C162" s="381"/>
      <c r="D162" s="166"/>
      <c r="E162" s="377"/>
      <c r="F162" s="387"/>
      <c r="G162" s="81"/>
      <c r="H162" s="273"/>
      <c r="I162" s="273"/>
      <c r="J162" s="273"/>
      <c r="K162" s="273"/>
      <c r="L162" s="379"/>
    </row>
    <row r="163" spans="1:12" ht="13.5">
      <c r="A163" s="383"/>
      <c r="B163" s="163"/>
      <c r="C163" s="381"/>
      <c r="D163" s="166"/>
      <c r="E163" s="377"/>
      <c r="F163" s="387"/>
      <c r="G163" s="81"/>
      <c r="H163" s="273"/>
      <c r="I163" s="273"/>
      <c r="J163" s="273"/>
      <c r="K163" s="273"/>
      <c r="L163" s="379"/>
    </row>
    <row r="164" spans="1:12" ht="13.5">
      <c r="A164" s="383"/>
      <c r="B164" s="163"/>
      <c r="C164" s="381"/>
      <c r="D164" s="166"/>
      <c r="E164" s="377"/>
      <c r="F164" s="387"/>
      <c r="G164" s="81"/>
      <c r="H164" s="273"/>
      <c r="I164" s="273"/>
      <c r="J164" s="273"/>
      <c r="K164" s="273"/>
      <c r="L164" s="379"/>
    </row>
    <row r="165" spans="1:12" ht="13.5">
      <c r="A165" s="383"/>
      <c r="B165" s="163"/>
      <c r="C165" s="381"/>
      <c r="D165" s="166"/>
      <c r="E165" s="377"/>
      <c r="F165" s="387"/>
      <c r="G165" s="81"/>
      <c r="H165" s="273"/>
      <c r="I165" s="273"/>
      <c r="J165" s="273"/>
      <c r="K165" s="273"/>
      <c r="L165" s="379"/>
    </row>
    <row r="166" spans="1:12" ht="13.5">
      <c r="A166" s="383"/>
      <c r="B166" s="163"/>
      <c r="C166" s="381"/>
      <c r="D166" s="166"/>
      <c r="E166" s="377"/>
      <c r="F166" s="387"/>
      <c r="G166" s="81"/>
      <c r="H166" s="273"/>
      <c r="I166" s="273"/>
      <c r="J166" s="273"/>
      <c r="K166" s="273"/>
      <c r="L166" s="379"/>
    </row>
    <row r="167" spans="1:12" ht="13.5">
      <c r="A167" s="383"/>
      <c r="B167" s="163"/>
      <c r="C167" s="381"/>
      <c r="D167" s="166"/>
      <c r="E167" s="377"/>
      <c r="F167" s="387"/>
      <c r="G167" s="81"/>
      <c r="H167" s="273"/>
      <c r="I167" s="273"/>
      <c r="J167" s="273"/>
      <c r="K167" s="273"/>
      <c r="L167" s="379"/>
    </row>
    <row r="168" spans="1:12" ht="13.5">
      <c r="A168" s="383"/>
      <c r="B168" s="163"/>
      <c r="C168" s="381"/>
      <c r="D168" s="166"/>
      <c r="E168" s="377"/>
      <c r="F168" s="387"/>
      <c r="G168" s="81"/>
      <c r="H168" s="273"/>
      <c r="I168" s="273"/>
      <c r="J168" s="273"/>
      <c r="K168" s="273"/>
      <c r="L168" s="379"/>
    </row>
    <row r="169" spans="1:12" ht="13.5">
      <c r="A169" s="383"/>
      <c r="B169" s="163"/>
      <c r="C169" s="381"/>
      <c r="D169" s="166"/>
      <c r="E169" s="377"/>
      <c r="F169" s="387"/>
      <c r="G169" s="81"/>
      <c r="H169" s="273"/>
      <c r="I169" s="273"/>
      <c r="J169" s="273"/>
      <c r="K169" s="273"/>
      <c r="L169" s="379"/>
    </row>
    <row r="170" spans="1:12" ht="13.5">
      <c r="A170" s="383"/>
      <c r="B170" s="163"/>
      <c r="C170" s="381"/>
      <c r="D170" s="166"/>
      <c r="E170" s="377"/>
      <c r="F170" s="387"/>
      <c r="G170" s="81"/>
      <c r="H170" s="273"/>
      <c r="I170" s="273"/>
      <c r="J170" s="273"/>
      <c r="K170" s="273"/>
      <c r="L170" s="379"/>
    </row>
    <row r="171" spans="1:12" ht="13.5">
      <c r="A171" s="383"/>
      <c r="B171" s="163"/>
      <c r="C171" s="381"/>
      <c r="D171" s="166"/>
      <c r="E171" s="377"/>
      <c r="F171" s="387"/>
      <c r="G171" s="81"/>
      <c r="H171" s="273"/>
      <c r="I171" s="273"/>
      <c r="J171" s="273"/>
      <c r="K171" s="273"/>
      <c r="L171" s="379"/>
    </row>
    <row r="172" spans="1:12" ht="13.5">
      <c r="A172" s="383"/>
      <c r="B172" s="163"/>
      <c r="C172" s="381"/>
      <c r="D172" s="166"/>
      <c r="E172" s="377"/>
      <c r="F172" s="387"/>
      <c r="G172" s="81"/>
      <c r="H172" s="273"/>
      <c r="I172" s="273"/>
      <c r="J172" s="273"/>
      <c r="K172" s="273"/>
      <c r="L172" s="379"/>
    </row>
    <row r="173" spans="1:12" ht="13.5">
      <c r="A173" s="383"/>
      <c r="B173" s="163"/>
      <c r="C173" s="381"/>
      <c r="D173" s="166"/>
      <c r="E173" s="377"/>
      <c r="F173" s="387"/>
      <c r="G173" s="81"/>
      <c r="H173" s="273"/>
      <c r="I173" s="273"/>
      <c r="J173" s="273"/>
      <c r="K173" s="273"/>
      <c r="L173" s="379"/>
    </row>
    <row r="174" spans="1:12" ht="13.5">
      <c r="A174" s="383"/>
      <c r="B174" s="163"/>
      <c r="C174" s="381"/>
      <c r="D174" s="166"/>
      <c r="E174" s="377"/>
      <c r="F174" s="387"/>
      <c r="G174" s="81"/>
      <c r="H174" s="273"/>
      <c r="I174" s="273"/>
      <c r="J174" s="273"/>
      <c r="K174" s="273"/>
      <c r="L174" s="379"/>
    </row>
    <row r="175" spans="1:12" ht="13.5">
      <c r="A175" s="383"/>
      <c r="B175" s="163"/>
      <c r="C175" s="381"/>
      <c r="D175" s="166"/>
      <c r="E175" s="377"/>
      <c r="F175" s="387"/>
      <c r="G175" s="81"/>
      <c r="H175" s="273"/>
      <c r="I175" s="273"/>
      <c r="J175" s="273"/>
      <c r="K175" s="273"/>
      <c r="L175" s="379"/>
    </row>
    <row r="176" spans="1:12" ht="13.5">
      <c r="A176" s="383"/>
      <c r="B176" s="163"/>
      <c r="C176" s="381"/>
      <c r="D176" s="166"/>
      <c r="E176" s="377"/>
      <c r="F176" s="387"/>
      <c r="G176" s="81"/>
      <c r="H176" s="273"/>
      <c r="I176" s="273"/>
      <c r="J176" s="273"/>
      <c r="K176" s="273"/>
      <c r="L176" s="379"/>
    </row>
    <row r="177" spans="1:12" ht="13.5">
      <c r="A177" s="383"/>
      <c r="B177" s="163"/>
      <c r="C177" s="381"/>
      <c r="D177" s="166"/>
      <c r="E177" s="377"/>
      <c r="F177" s="387"/>
      <c r="G177" s="81"/>
      <c r="H177" s="273"/>
      <c r="I177" s="273"/>
      <c r="J177" s="273"/>
      <c r="K177" s="273"/>
      <c r="L177" s="379"/>
    </row>
    <row r="178" spans="1:12" ht="13.5">
      <c r="A178" s="383"/>
      <c r="B178" s="163"/>
      <c r="C178" s="381"/>
      <c r="D178" s="166"/>
      <c r="E178" s="377"/>
      <c r="F178" s="387"/>
      <c r="G178" s="81"/>
      <c r="H178" s="273"/>
      <c r="I178" s="273"/>
      <c r="J178" s="273"/>
      <c r="K178" s="273"/>
      <c r="L178" s="379"/>
    </row>
    <row r="179" spans="1:12" ht="13.5">
      <c r="A179" s="383"/>
      <c r="B179" s="163"/>
      <c r="C179" s="381"/>
      <c r="D179" s="166"/>
      <c r="E179" s="377"/>
      <c r="F179" s="387"/>
      <c r="G179" s="81"/>
      <c r="H179" s="273"/>
      <c r="I179" s="273"/>
      <c r="J179" s="273"/>
      <c r="K179" s="273"/>
      <c r="L179" s="379"/>
    </row>
    <row r="180" spans="1:12" ht="13.5">
      <c r="A180" s="383"/>
      <c r="B180" s="163"/>
      <c r="C180" s="381"/>
      <c r="D180" s="166"/>
      <c r="E180" s="377"/>
      <c r="F180" s="387"/>
      <c r="G180" s="81"/>
      <c r="H180" s="273"/>
      <c r="I180" s="273"/>
      <c r="J180" s="273"/>
      <c r="K180" s="273"/>
      <c r="L180" s="379"/>
    </row>
    <row r="181" spans="1:12" ht="13.5">
      <c r="A181" s="383"/>
      <c r="B181" s="163"/>
      <c r="C181" s="381"/>
      <c r="D181" s="166"/>
      <c r="E181" s="377"/>
      <c r="F181" s="387"/>
      <c r="G181" s="81"/>
      <c r="H181" s="273"/>
      <c r="I181" s="273"/>
      <c r="J181" s="273"/>
      <c r="K181" s="273"/>
      <c r="L181" s="379"/>
    </row>
    <row r="182" spans="1:12" ht="13.5">
      <c r="A182" s="383"/>
      <c r="B182" s="163"/>
      <c r="C182" s="381"/>
      <c r="D182" s="166"/>
      <c r="E182" s="377"/>
      <c r="F182" s="387"/>
      <c r="G182" s="81"/>
      <c r="H182" s="273"/>
      <c r="I182" s="273"/>
      <c r="J182" s="273"/>
      <c r="K182" s="273"/>
      <c r="L182" s="379"/>
    </row>
    <row r="183" spans="1:12" ht="13.5">
      <c r="A183" s="383"/>
      <c r="B183" s="163"/>
      <c r="C183" s="381"/>
      <c r="D183" s="166"/>
      <c r="E183" s="377"/>
      <c r="F183" s="387"/>
      <c r="G183" s="81"/>
      <c r="H183" s="273"/>
      <c r="I183" s="273"/>
      <c r="J183" s="273"/>
      <c r="K183" s="273"/>
      <c r="L183" s="379"/>
    </row>
    <row r="184" spans="1:12" ht="13.5">
      <c r="A184" s="383"/>
      <c r="B184" s="163"/>
      <c r="C184" s="381"/>
      <c r="D184" s="166"/>
      <c r="E184" s="377"/>
      <c r="F184" s="387"/>
      <c r="G184" s="81"/>
      <c r="H184" s="273"/>
      <c r="I184" s="273"/>
      <c r="J184" s="273"/>
      <c r="K184" s="273"/>
      <c r="L184" s="379"/>
    </row>
    <row r="185" spans="1:12" ht="13.5">
      <c r="A185" s="383"/>
      <c r="B185" s="163"/>
      <c r="C185" s="381"/>
      <c r="D185" s="166"/>
      <c r="E185" s="377"/>
      <c r="F185" s="387"/>
      <c r="G185" s="81"/>
      <c r="H185" s="273"/>
      <c r="I185" s="273"/>
      <c r="J185" s="273"/>
      <c r="K185" s="273"/>
      <c r="L185" s="379"/>
    </row>
    <row r="186" spans="1:12" ht="13.5">
      <c r="A186" s="383"/>
      <c r="B186" s="163"/>
      <c r="C186" s="381"/>
      <c r="D186" s="166"/>
      <c r="E186" s="377"/>
      <c r="F186" s="387"/>
      <c r="G186" s="81"/>
      <c r="H186" s="273"/>
      <c r="I186" s="273"/>
      <c r="J186" s="273"/>
      <c r="K186" s="273"/>
      <c r="L186" s="379"/>
    </row>
    <row r="187" spans="1:12" ht="13.5">
      <c r="A187" s="383"/>
      <c r="B187" s="163"/>
      <c r="C187" s="381"/>
      <c r="D187" s="166"/>
      <c r="E187" s="377"/>
      <c r="F187" s="387"/>
      <c r="G187" s="81"/>
      <c r="H187" s="273"/>
      <c r="I187" s="273"/>
      <c r="J187" s="273"/>
      <c r="K187" s="273"/>
      <c r="L187" s="379"/>
    </row>
    <row r="188" spans="1:12" ht="13.5">
      <c r="A188" s="383"/>
      <c r="B188" s="163"/>
      <c r="C188" s="381"/>
      <c r="D188" s="166"/>
      <c r="E188" s="377"/>
      <c r="F188" s="387"/>
      <c r="G188" s="81"/>
      <c r="H188" s="273"/>
      <c r="I188" s="273"/>
      <c r="J188" s="273"/>
      <c r="K188" s="273"/>
      <c r="L188" s="379"/>
    </row>
    <row r="189" spans="1:12" ht="13.5">
      <c r="A189" s="383"/>
      <c r="B189" s="163"/>
      <c r="C189" s="381"/>
      <c r="D189" s="166"/>
      <c r="E189" s="377"/>
      <c r="F189" s="387"/>
      <c r="G189" s="81"/>
      <c r="H189" s="273"/>
      <c r="I189" s="273"/>
      <c r="J189" s="273"/>
      <c r="K189" s="273"/>
      <c r="L189" s="379"/>
    </row>
    <row r="190" spans="1:12" ht="13.5">
      <c r="A190" s="383"/>
      <c r="B190" s="163"/>
      <c r="C190" s="381"/>
      <c r="D190" s="166"/>
      <c r="E190" s="377"/>
      <c r="F190" s="387"/>
      <c r="G190" s="81"/>
      <c r="H190" s="273"/>
      <c r="I190" s="273"/>
      <c r="J190" s="273"/>
      <c r="K190" s="273"/>
      <c r="L190" s="379"/>
    </row>
    <row r="191" spans="1:12" ht="13.5">
      <c r="A191" s="383"/>
      <c r="B191" s="163"/>
      <c r="C191" s="381"/>
      <c r="D191" s="166"/>
      <c r="E191" s="377"/>
      <c r="F191" s="387"/>
      <c r="G191" s="81"/>
      <c r="H191" s="273"/>
      <c r="I191" s="273"/>
      <c r="J191" s="273"/>
      <c r="K191" s="273"/>
      <c r="L191" s="379"/>
    </row>
    <row r="192" spans="1:12" ht="13.5">
      <c r="A192" s="383"/>
      <c r="B192" s="163"/>
      <c r="C192" s="381"/>
      <c r="D192" s="166"/>
      <c r="E192" s="377"/>
      <c r="F192" s="387"/>
      <c r="G192" s="81"/>
      <c r="H192" s="273"/>
      <c r="I192" s="273"/>
      <c r="J192" s="273"/>
      <c r="K192" s="273"/>
      <c r="L192" s="379"/>
    </row>
    <row r="193" spans="1:12" ht="13.5">
      <c r="A193" s="383"/>
      <c r="B193" s="163"/>
      <c r="C193" s="381"/>
      <c r="D193" s="166"/>
      <c r="E193" s="377"/>
      <c r="F193" s="387"/>
      <c r="G193" s="81"/>
      <c r="H193" s="273"/>
      <c r="I193" s="273"/>
      <c r="J193" s="273"/>
      <c r="K193" s="273"/>
      <c r="L193" s="379"/>
    </row>
    <row r="194" spans="1:12" ht="13.5">
      <c r="A194" s="383"/>
      <c r="B194" s="163"/>
      <c r="C194" s="381"/>
      <c r="D194" s="166"/>
      <c r="E194" s="377"/>
      <c r="F194" s="387"/>
      <c r="G194" s="81"/>
      <c r="H194" s="273"/>
      <c r="I194" s="273"/>
      <c r="J194" s="273"/>
      <c r="K194" s="273"/>
      <c r="L194" s="379"/>
    </row>
    <row r="195" spans="1:12" ht="13.5">
      <c r="A195" s="383"/>
      <c r="B195" s="163"/>
      <c r="C195" s="381"/>
      <c r="D195" s="166"/>
      <c r="E195" s="377"/>
      <c r="F195" s="387"/>
      <c r="G195" s="81"/>
      <c r="H195" s="273"/>
      <c r="I195" s="273"/>
      <c r="J195" s="273"/>
      <c r="K195" s="273"/>
      <c r="L195" s="379"/>
    </row>
    <row r="196" spans="1:12" ht="13.5">
      <c r="A196" s="383"/>
      <c r="B196" s="163"/>
      <c r="C196" s="381"/>
      <c r="D196" s="166"/>
      <c r="E196" s="377"/>
      <c r="F196" s="387"/>
      <c r="G196" s="81"/>
      <c r="H196" s="273"/>
      <c r="I196" s="273"/>
      <c r="J196" s="273"/>
      <c r="K196" s="273"/>
      <c r="L196" s="379"/>
    </row>
    <row r="197" spans="1:12" ht="13.5">
      <c r="A197" s="383"/>
      <c r="B197" s="163"/>
      <c r="C197" s="381"/>
      <c r="D197" s="166"/>
      <c r="E197" s="377"/>
      <c r="F197" s="387"/>
      <c r="G197" s="81"/>
      <c r="H197" s="273"/>
      <c r="I197" s="273"/>
      <c r="J197" s="273"/>
      <c r="K197" s="273"/>
      <c r="L197" s="379"/>
    </row>
    <row r="198" spans="1:12" ht="13.5">
      <c r="A198" s="383"/>
      <c r="B198" s="163"/>
      <c r="C198" s="381"/>
      <c r="D198" s="166"/>
      <c r="E198" s="377"/>
      <c r="F198" s="387"/>
      <c r="G198" s="81"/>
      <c r="H198" s="273"/>
      <c r="I198" s="273"/>
      <c r="J198" s="273"/>
      <c r="K198" s="273"/>
      <c r="L198" s="379"/>
    </row>
    <row r="199" spans="1:12" ht="13.5">
      <c r="A199" s="383"/>
      <c r="B199" s="163"/>
      <c r="C199" s="381"/>
      <c r="D199" s="166"/>
      <c r="E199" s="377"/>
      <c r="F199" s="387"/>
      <c r="G199" s="81"/>
      <c r="H199" s="273"/>
      <c r="I199" s="273"/>
      <c r="J199" s="273"/>
      <c r="K199" s="273"/>
      <c r="L199" s="379"/>
    </row>
    <row r="200" spans="1:12" ht="13.5">
      <c r="A200" s="383"/>
      <c r="B200" s="163"/>
      <c r="C200" s="381"/>
      <c r="D200" s="166"/>
      <c r="E200" s="377"/>
      <c r="F200" s="387"/>
      <c r="G200" s="81"/>
      <c r="H200" s="273"/>
      <c r="I200" s="273"/>
      <c r="J200" s="273"/>
      <c r="K200" s="273"/>
      <c r="L200" s="379"/>
    </row>
    <row r="201" spans="1:12" ht="13.5">
      <c r="A201" s="383"/>
      <c r="B201" s="163"/>
      <c r="C201" s="381"/>
      <c r="D201" s="166"/>
      <c r="E201" s="377"/>
      <c r="F201" s="387"/>
      <c r="G201" s="81"/>
      <c r="H201" s="273"/>
      <c r="I201" s="273"/>
      <c r="J201" s="273"/>
      <c r="K201" s="273"/>
      <c r="L201" s="379"/>
    </row>
    <row r="202" spans="1:12" ht="13.5">
      <c r="A202" s="383"/>
      <c r="B202" s="163"/>
      <c r="C202" s="381"/>
      <c r="D202" s="166"/>
      <c r="E202" s="377"/>
      <c r="F202" s="387"/>
      <c r="G202" s="81"/>
      <c r="H202" s="273"/>
      <c r="I202" s="273"/>
      <c r="J202" s="273"/>
      <c r="K202" s="273"/>
      <c r="L202" s="379"/>
    </row>
    <row r="203" spans="1:15" ht="13.5">
      <c r="A203" s="383"/>
      <c r="B203" s="163"/>
      <c r="C203" s="381"/>
      <c r="D203" s="166"/>
      <c r="E203" s="377"/>
      <c r="F203" s="387"/>
      <c r="G203" s="81"/>
      <c r="H203" s="273"/>
      <c r="I203" s="273"/>
      <c r="J203" s="273"/>
      <c r="K203" s="273"/>
      <c r="L203" s="379"/>
      <c r="M203" s="155"/>
      <c r="N203" s="155"/>
      <c r="O203" s="155"/>
    </row>
    <row r="204" spans="1:14" s="157" customFormat="1" ht="13.5">
      <c r="A204" s="396"/>
      <c r="B204" s="242"/>
      <c r="C204" s="388"/>
      <c r="D204" s="173"/>
      <c r="E204" s="389"/>
      <c r="F204" s="397"/>
      <c r="G204" s="274"/>
      <c r="H204" s="286"/>
      <c r="I204" s="286"/>
      <c r="J204" s="286"/>
      <c r="K204" s="286"/>
      <c r="L204" s="379"/>
      <c r="N204" s="158"/>
    </row>
    <row r="205" spans="1:14" s="157" customFormat="1" ht="13.5">
      <c r="A205" s="396"/>
      <c r="B205" s="242"/>
      <c r="C205" s="388"/>
      <c r="D205" s="173"/>
      <c r="E205" s="389"/>
      <c r="F205" s="397"/>
      <c r="G205" s="398"/>
      <c r="H205" s="399"/>
      <c r="I205" s="286"/>
      <c r="J205" s="286"/>
      <c r="K205" s="286"/>
      <c r="L205" s="379"/>
      <c r="N205" s="158"/>
    </row>
    <row r="206" spans="1:15" ht="13.5">
      <c r="A206" s="383"/>
      <c r="B206" s="163"/>
      <c r="C206" s="381"/>
      <c r="D206" s="166"/>
      <c r="E206" s="377"/>
      <c r="F206" s="367"/>
      <c r="G206" s="368"/>
      <c r="H206" s="273"/>
      <c r="I206" s="273"/>
      <c r="J206" s="273"/>
      <c r="K206" s="273"/>
      <c r="L206" s="379"/>
      <c r="M206" s="155"/>
      <c r="N206" s="155"/>
      <c r="O206" s="155"/>
    </row>
    <row r="207" spans="1:15" s="558" customFormat="1" ht="13.5">
      <c r="A207" s="517"/>
      <c r="B207" s="160"/>
      <c r="C207" s="404"/>
      <c r="D207" s="161"/>
      <c r="E207" s="385"/>
      <c r="F207" s="392"/>
      <c r="G207" s="392"/>
      <c r="H207" s="515"/>
      <c r="I207" s="515"/>
      <c r="J207" s="515"/>
      <c r="K207" s="515"/>
      <c r="L207" s="516"/>
      <c r="M207" s="159"/>
      <c r="N207" s="159"/>
      <c r="O207" s="159"/>
    </row>
    <row r="208" spans="1:15" ht="13.5">
      <c r="A208" s="383"/>
      <c r="B208" s="163"/>
      <c r="C208" s="391"/>
      <c r="D208" s="384"/>
      <c r="E208" s="377"/>
      <c r="F208" s="400"/>
      <c r="G208" s="81"/>
      <c r="H208" s="273"/>
      <c r="I208" s="273"/>
      <c r="J208" s="273"/>
      <c r="K208" s="273"/>
      <c r="L208" s="379"/>
      <c r="N208" s="155"/>
      <c r="O208" s="169"/>
    </row>
    <row r="209" spans="1:15" ht="13.5">
      <c r="A209" s="383"/>
      <c r="B209" s="163"/>
      <c r="C209" s="391"/>
      <c r="D209" s="384"/>
      <c r="E209" s="377"/>
      <c r="F209" s="401"/>
      <c r="G209" s="81"/>
      <c r="H209" s="273"/>
      <c r="I209" s="273"/>
      <c r="J209" s="273"/>
      <c r="K209" s="273"/>
      <c r="L209" s="379"/>
      <c r="N209" s="155"/>
      <c r="O209" s="155"/>
    </row>
    <row r="210" spans="1:15" ht="13.5">
      <c r="A210" s="174"/>
      <c r="B210" s="174"/>
      <c r="C210" s="174"/>
      <c r="D210" s="166"/>
      <c r="E210" s="377"/>
      <c r="F210" s="387"/>
      <c r="G210" s="81"/>
      <c r="H210" s="273"/>
      <c r="I210" s="273"/>
      <c r="J210" s="273"/>
      <c r="K210" s="273"/>
      <c r="L210" s="379"/>
      <c r="M210" s="155"/>
      <c r="N210" s="155"/>
      <c r="O210" s="155"/>
    </row>
    <row r="211" spans="1:15" ht="13.5">
      <c r="A211" s="160"/>
      <c r="B211" s="160"/>
      <c r="C211" s="174"/>
      <c r="D211" s="166"/>
      <c r="E211" s="377"/>
      <c r="F211" s="402"/>
      <c r="G211" s="274"/>
      <c r="H211" s="273"/>
      <c r="I211" s="273"/>
      <c r="J211" s="273"/>
      <c r="K211" s="273"/>
      <c r="L211" s="379"/>
      <c r="M211" s="155"/>
      <c r="N211" s="155"/>
      <c r="O211" s="155"/>
    </row>
    <row r="212" spans="1:15" ht="13.5">
      <c r="A212" s="163"/>
      <c r="B212" s="163"/>
      <c r="C212" s="380"/>
      <c r="D212" s="166"/>
      <c r="E212" s="377"/>
      <c r="F212" s="387"/>
      <c r="G212" s="81"/>
      <c r="H212" s="273"/>
      <c r="I212" s="273"/>
      <c r="J212" s="273"/>
      <c r="K212" s="273"/>
      <c r="L212" s="379"/>
      <c r="M212" s="155"/>
      <c r="N212" s="155"/>
      <c r="O212" s="155"/>
    </row>
    <row r="213" spans="1:15" ht="13.5">
      <c r="A213" s="163"/>
      <c r="B213" s="163"/>
      <c r="C213" s="381"/>
      <c r="D213" s="166"/>
      <c r="E213" s="377"/>
      <c r="F213" s="387"/>
      <c r="G213" s="81"/>
      <c r="H213" s="273"/>
      <c r="I213" s="273"/>
      <c r="J213" s="273"/>
      <c r="K213" s="273"/>
      <c r="L213" s="379"/>
      <c r="M213" s="155"/>
      <c r="N213" s="155"/>
      <c r="O213" s="155"/>
    </row>
    <row r="214" spans="1:15" ht="13.5">
      <c r="A214" s="163"/>
      <c r="B214" s="163"/>
      <c r="C214" s="163"/>
      <c r="D214" s="166"/>
      <c r="E214" s="377"/>
      <c r="F214" s="403"/>
      <c r="G214" s="81"/>
      <c r="H214" s="273"/>
      <c r="I214" s="273"/>
      <c r="J214" s="273"/>
      <c r="K214" s="273"/>
      <c r="L214" s="379"/>
      <c r="M214" s="155"/>
      <c r="N214" s="155"/>
      <c r="O214" s="155"/>
    </row>
    <row r="215" spans="1:15" ht="13.5">
      <c r="A215" s="163"/>
      <c r="B215" s="163"/>
      <c r="C215" s="391"/>
      <c r="D215" s="384"/>
      <c r="E215" s="377"/>
      <c r="F215" s="387"/>
      <c r="G215" s="81"/>
      <c r="H215" s="273"/>
      <c r="I215" s="273"/>
      <c r="J215" s="273"/>
      <c r="K215" s="273"/>
      <c r="L215" s="379"/>
      <c r="M215" s="155"/>
      <c r="N215" s="155"/>
      <c r="O215" s="155"/>
    </row>
    <row r="216" spans="1:15" ht="13.5">
      <c r="A216" s="163"/>
      <c r="B216" s="163"/>
      <c r="C216" s="381"/>
      <c r="D216" s="166"/>
      <c r="E216" s="377"/>
      <c r="F216" s="387"/>
      <c r="G216" s="81"/>
      <c r="H216" s="273"/>
      <c r="I216" s="273"/>
      <c r="J216" s="273"/>
      <c r="K216" s="273"/>
      <c r="L216" s="379"/>
      <c r="M216" s="155"/>
      <c r="N216" s="155"/>
      <c r="O216" s="155"/>
    </row>
    <row r="217" spans="1:15" ht="13.5">
      <c r="A217" s="163"/>
      <c r="B217" s="163"/>
      <c r="C217" s="381"/>
      <c r="D217" s="166"/>
      <c r="E217" s="377"/>
      <c r="F217" s="387"/>
      <c r="G217" s="81"/>
      <c r="H217" s="273"/>
      <c r="I217" s="273"/>
      <c r="J217" s="273"/>
      <c r="K217" s="273"/>
      <c r="L217" s="379"/>
      <c r="M217" s="155"/>
      <c r="N217" s="155"/>
      <c r="O217" s="155"/>
    </row>
    <row r="218" spans="1:15" ht="13.5">
      <c r="A218" s="163"/>
      <c r="B218" s="163"/>
      <c r="C218" s="391"/>
      <c r="D218" s="168"/>
      <c r="E218" s="377"/>
      <c r="F218" s="387"/>
      <c r="G218" s="81"/>
      <c r="H218" s="273"/>
      <c r="I218" s="273"/>
      <c r="J218" s="273"/>
      <c r="K218" s="273"/>
      <c r="L218" s="379"/>
      <c r="M218" s="155"/>
      <c r="N218" s="155"/>
      <c r="O218" s="155"/>
    </row>
    <row r="219" spans="1:12" ht="13.5">
      <c r="A219" s="163"/>
      <c r="B219" s="163"/>
      <c r="C219" s="380"/>
      <c r="D219" s="166"/>
      <c r="E219" s="377"/>
      <c r="F219" s="387"/>
      <c r="G219" s="81"/>
      <c r="H219" s="273"/>
      <c r="I219" s="273"/>
      <c r="J219" s="273"/>
      <c r="K219" s="273"/>
      <c r="L219" s="379"/>
    </row>
    <row r="220" spans="1:12" ht="13.5">
      <c r="A220" s="163"/>
      <c r="B220" s="163"/>
      <c r="C220" s="380"/>
      <c r="D220" s="166"/>
      <c r="E220" s="377"/>
      <c r="F220" s="387"/>
      <c r="G220" s="81"/>
      <c r="H220" s="273"/>
      <c r="I220" s="273"/>
      <c r="J220" s="273"/>
      <c r="K220" s="273"/>
      <c r="L220" s="379"/>
    </row>
    <row r="221" spans="1:12" ht="13.5">
      <c r="A221" s="163"/>
      <c r="B221" s="163"/>
      <c r="C221" s="380"/>
      <c r="D221" s="166"/>
      <c r="E221" s="377"/>
      <c r="F221" s="387"/>
      <c r="G221" s="81"/>
      <c r="H221" s="273"/>
      <c r="I221" s="273"/>
      <c r="J221" s="273"/>
      <c r="K221" s="273"/>
      <c r="L221" s="379"/>
    </row>
    <row r="222" spans="1:12" ht="13.5">
      <c r="A222" s="163"/>
      <c r="B222" s="163"/>
      <c r="C222" s="380"/>
      <c r="D222" s="166"/>
      <c r="E222" s="377"/>
      <c r="F222" s="387"/>
      <c r="G222" s="81"/>
      <c r="H222" s="273"/>
      <c r="I222" s="273"/>
      <c r="J222" s="273"/>
      <c r="K222" s="273"/>
      <c r="L222" s="379"/>
    </row>
    <row r="223" spans="1:12" ht="13.5">
      <c r="A223" s="163"/>
      <c r="B223" s="163"/>
      <c r="C223" s="163"/>
      <c r="D223" s="166"/>
      <c r="E223" s="377"/>
      <c r="F223" s="403"/>
      <c r="G223" s="81"/>
      <c r="H223" s="273"/>
      <c r="I223" s="273"/>
      <c r="J223" s="273"/>
      <c r="K223" s="273"/>
      <c r="L223" s="379"/>
    </row>
    <row r="224" spans="1:12" ht="13.5">
      <c r="A224" s="163"/>
      <c r="B224" s="163"/>
      <c r="C224" s="163"/>
      <c r="D224" s="166"/>
      <c r="E224" s="377"/>
      <c r="F224" s="382"/>
      <c r="G224" s="81"/>
      <c r="H224" s="273"/>
      <c r="I224" s="273"/>
      <c r="J224" s="273"/>
      <c r="K224" s="273"/>
      <c r="L224" s="379"/>
    </row>
    <row r="225" s="558" customFormat="1" ht="13.5"/>
    <row r="226" s="558" customFormat="1" ht="13.5"/>
    <row r="227" spans="4:11" ht="13.5">
      <c r="D227" s="156"/>
      <c r="F227" s="156"/>
      <c r="G227" s="156"/>
      <c r="H227" s="156"/>
      <c r="I227" s="156"/>
      <c r="J227" s="156"/>
      <c r="K227" s="156"/>
    </row>
    <row r="228" spans="4:11" ht="13.5">
      <c r="D228" s="156"/>
      <c r="F228" s="156"/>
      <c r="G228" s="156"/>
      <c r="H228" s="156"/>
      <c r="I228" s="156"/>
      <c r="J228" s="156"/>
      <c r="K228" s="156"/>
    </row>
    <row r="229" spans="4:11" ht="13.5">
      <c r="D229" s="156"/>
      <c r="F229" s="156"/>
      <c r="G229" s="156"/>
      <c r="H229" s="156"/>
      <c r="I229" s="156"/>
      <c r="J229" s="156"/>
      <c r="K229" s="156"/>
    </row>
    <row r="230" spans="4:11" ht="13.5">
      <c r="D230" s="156"/>
      <c r="F230" s="156"/>
      <c r="G230" s="156"/>
      <c r="H230" s="156"/>
      <c r="I230" s="156"/>
      <c r="J230" s="156"/>
      <c r="K230" s="156"/>
    </row>
    <row r="231" spans="4:16" ht="13.5">
      <c r="D231" s="156"/>
      <c r="F231" s="156"/>
      <c r="G231" s="156"/>
      <c r="H231" s="156"/>
      <c r="I231" s="156"/>
      <c r="J231" s="156"/>
      <c r="K231" s="156"/>
      <c r="P231" s="561"/>
    </row>
    <row r="232" spans="4:11" ht="13.5">
      <c r="D232" s="156"/>
      <c r="F232" s="156"/>
      <c r="G232" s="156"/>
      <c r="H232" s="156"/>
      <c r="I232" s="156"/>
      <c r="J232" s="156"/>
      <c r="K232" s="156"/>
    </row>
    <row r="233" s="558" customFormat="1" ht="13.5"/>
    <row r="234" s="558" customFormat="1" ht="13.5"/>
    <row r="235" spans="4:11" ht="13.5">
      <c r="D235" s="156"/>
      <c r="F235" s="156"/>
      <c r="G235" s="156"/>
      <c r="H235" s="156"/>
      <c r="I235" s="156"/>
      <c r="J235" s="156"/>
      <c r="K235" s="156"/>
    </row>
    <row r="236" spans="4:11" ht="13.5">
      <c r="D236" s="156"/>
      <c r="F236" s="156"/>
      <c r="G236" s="156"/>
      <c r="H236" s="156"/>
      <c r="I236" s="156"/>
      <c r="J236" s="156"/>
      <c r="K236" s="156"/>
    </row>
    <row r="237" spans="4:11" ht="13.5">
      <c r="D237" s="156"/>
      <c r="F237" s="156"/>
      <c r="G237" s="156"/>
      <c r="H237" s="156"/>
      <c r="I237" s="156"/>
      <c r="J237" s="156"/>
      <c r="K237" s="156"/>
    </row>
    <row r="238" spans="4:11" ht="13.5">
      <c r="D238" s="156"/>
      <c r="F238" s="156"/>
      <c r="G238" s="156"/>
      <c r="H238" s="156"/>
      <c r="I238" s="156"/>
      <c r="J238" s="156"/>
      <c r="K238" s="156"/>
    </row>
    <row r="239" spans="4:11" ht="13.5">
      <c r="D239" s="156"/>
      <c r="F239" s="156"/>
      <c r="G239" s="156"/>
      <c r="H239" s="156"/>
      <c r="I239" s="156"/>
      <c r="J239" s="156"/>
      <c r="K239" s="156"/>
    </row>
    <row r="240" spans="4:11" ht="13.5">
      <c r="D240" s="156"/>
      <c r="F240" s="156"/>
      <c r="G240" s="156"/>
      <c r="H240" s="156"/>
      <c r="I240" s="156"/>
      <c r="J240" s="156"/>
      <c r="K240" s="156"/>
    </row>
    <row r="241" spans="4:11" ht="13.5">
      <c r="D241" s="156"/>
      <c r="F241" s="156"/>
      <c r="G241" s="156"/>
      <c r="H241" s="156"/>
      <c r="I241" s="156"/>
      <c r="J241" s="156"/>
      <c r="K241" s="156"/>
    </row>
    <row r="242" spans="4:11" ht="13.5">
      <c r="D242" s="156"/>
      <c r="F242" s="156"/>
      <c r="G242" s="156"/>
      <c r="H242" s="156"/>
      <c r="I242" s="156"/>
      <c r="J242" s="156"/>
      <c r="K242" s="156"/>
    </row>
    <row r="243" spans="4:11" ht="13.5">
      <c r="D243" s="156"/>
      <c r="F243" s="156"/>
      <c r="G243" s="156"/>
      <c r="H243" s="156"/>
      <c r="I243" s="156"/>
      <c r="J243" s="156"/>
      <c r="K243" s="156"/>
    </row>
    <row r="244" spans="4:11" ht="13.5">
      <c r="D244" s="156"/>
      <c r="F244" s="156"/>
      <c r="G244" s="156"/>
      <c r="H244" s="156"/>
      <c r="I244" s="156"/>
      <c r="J244" s="156"/>
      <c r="K244" s="156"/>
    </row>
    <row r="245" spans="4:11" ht="13.5">
      <c r="D245" s="156"/>
      <c r="F245" s="156"/>
      <c r="G245" s="156"/>
      <c r="H245" s="156"/>
      <c r="I245" s="156"/>
      <c r="J245" s="156"/>
      <c r="K245" s="156"/>
    </row>
    <row r="246" spans="4:11" ht="13.5">
      <c r="D246" s="156"/>
      <c r="F246" s="156"/>
      <c r="G246" s="156"/>
      <c r="H246" s="156"/>
      <c r="I246" s="156"/>
      <c r="J246" s="156"/>
      <c r="K246" s="156"/>
    </row>
    <row r="247" spans="4:11" ht="13.5">
      <c r="D247" s="156"/>
      <c r="F247" s="156"/>
      <c r="G247" s="156"/>
      <c r="H247" s="156"/>
      <c r="I247" s="156"/>
      <c r="J247" s="156"/>
      <c r="K247" s="156"/>
    </row>
    <row r="248" spans="4:11" ht="13.5">
      <c r="D248" s="156"/>
      <c r="F248" s="156"/>
      <c r="G248" s="156"/>
      <c r="H248" s="156"/>
      <c r="I248" s="156"/>
      <c r="J248" s="156"/>
      <c r="K248" s="156"/>
    </row>
    <row r="249" spans="4:11" ht="13.5">
      <c r="D249" s="156"/>
      <c r="F249" s="156"/>
      <c r="G249" s="156"/>
      <c r="H249" s="156"/>
      <c r="I249" s="156"/>
      <c r="J249" s="156"/>
      <c r="K249" s="156"/>
    </row>
    <row r="250" spans="4:11" ht="13.5">
      <c r="D250" s="156"/>
      <c r="F250" s="156"/>
      <c r="G250" s="156"/>
      <c r="H250" s="156"/>
      <c r="I250" s="156"/>
      <c r="J250" s="156"/>
      <c r="K250" s="156"/>
    </row>
    <row r="251" spans="4:11" ht="13.5">
      <c r="D251" s="156"/>
      <c r="F251" s="156"/>
      <c r="G251" s="156"/>
      <c r="H251" s="156"/>
      <c r="I251" s="156"/>
      <c r="J251" s="156"/>
      <c r="K251" s="156"/>
    </row>
    <row r="252" spans="4:11" ht="13.5">
      <c r="D252" s="156"/>
      <c r="F252" s="156"/>
      <c r="G252" s="156"/>
      <c r="H252" s="156"/>
      <c r="I252" s="156"/>
      <c r="J252" s="156"/>
      <c r="K252" s="156"/>
    </row>
    <row r="253" spans="4:11" ht="13.5">
      <c r="D253" s="156"/>
      <c r="F253" s="156"/>
      <c r="G253" s="156"/>
      <c r="H253" s="156"/>
      <c r="I253" s="156"/>
      <c r="J253" s="156"/>
      <c r="K253" s="156"/>
    </row>
    <row r="254" spans="4:11" ht="13.5">
      <c r="D254" s="156"/>
      <c r="F254" s="156"/>
      <c r="G254" s="156"/>
      <c r="H254" s="156"/>
      <c r="I254" s="156"/>
      <c r="J254" s="156"/>
      <c r="K254" s="156"/>
    </row>
    <row r="255" spans="4:11" ht="13.5">
      <c r="D255" s="156"/>
      <c r="F255" s="156"/>
      <c r="G255" s="156"/>
      <c r="H255" s="156"/>
      <c r="I255" s="156"/>
      <c r="J255" s="156"/>
      <c r="K255" s="156"/>
    </row>
    <row r="256" spans="4:11" ht="13.5">
      <c r="D256" s="156"/>
      <c r="F256" s="156"/>
      <c r="G256" s="156"/>
      <c r="H256" s="156"/>
      <c r="I256" s="156"/>
      <c r="J256" s="156"/>
      <c r="K256" s="156"/>
    </row>
    <row r="257" spans="4:11" ht="13.5">
      <c r="D257" s="156"/>
      <c r="F257" s="156"/>
      <c r="G257" s="156"/>
      <c r="H257" s="156"/>
      <c r="I257" s="156"/>
      <c r="J257" s="156"/>
      <c r="K257" s="156"/>
    </row>
    <row r="258" spans="4:11" ht="13.5">
      <c r="D258" s="156"/>
      <c r="F258" s="156"/>
      <c r="G258" s="156"/>
      <c r="H258" s="156"/>
      <c r="I258" s="156"/>
      <c r="J258" s="156"/>
      <c r="K258" s="156"/>
    </row>
    <row r="259" spans="4:11" ht="13.5">
      <c r="D259" s="156"/>
      <c r="F259" s="156"/>
      <c r="G259" s="156"/>
      <c r="H259" s="156"/>
      <c r="I259" s="156"/>
      <c r="J259" s="156"/>
      <c r="K259" s="156"/>
    </row>
    <row r="260" spans="4:11" ht="13.5">
      <c r="D260" s="156"/>
      <c r="F260" s="156"/>
      <c r="G260" s="156"/>
      <c r="H260" s="156"/>
      <c r="I260" s="156"/>
      <c r="J260" s="156"/>
      <c r="K260" s="156"/>
    </row>
    <row r="261" spans="4:11" ht="13.5">
      <c r="D261" s="156"/>
      <c r="F261" s="156"/>
      <c r="G261" s="156"/>
      <c r="H261" s="156"/>
      <c r="I261" s="156"/>
      <c r="J261" s="156"/>
      <c r="K261" s="156"/>
    </row>
    <row r="262" spans="1:12" ht="13.5">
      <c r="A262" s="367"/>
      <c r="B262" s="367"/>
      <c r="C262" s="367"/>
      <c r="D262" s="166"/>
      <c r="E262" s="377"/>
      <c r="F262" s="382"/>
      <c r="G262" s="81"/>
      <c r="H262" s="273"/>
      <c r="I262" s="273"/>
      <c r="J262" s="273"/>
      <c r="K262" s="273"/>
      <c r="L262" s="379"/>
    </row>
    <row r="263" spans="4:11" ht="13.5">
      <c r="D263" s="156"/>
      <c r="F263" s="156"/>
      <c r="G263" s="156"/>
      <c r="H263" s="156"/>
      <c r="I263" s="156"/>
      <c r="J263" s="156"/>
      <c r="K263" s="156"/>
    </row>
    <row r="264" spans="4:11" ht="13.5">
      <c r="D264" s="156"/>
      <c r="F264" s="156"/>
      <c r="G264" s="156"/>
      <c r="H264" s="156"/>
      <c r="I264" s="156"/>
      <c r="J264" s="156"/>
      <c r="K264" s="156"/>
    </row>
    <row r="265" spans="4:11" ht="13.5">
      <c r="D265" s="156"/>
      <c r="F265" s="156"/>
      <c r="G265" s="156"/>
      <c r="H265" s="156"/>
      <c r="I265" s="156"/>
      <c r="J265" s="156"/>
      <c r="K265" s="156"/>
    </row>
    <row r="266" spans="4:11" ht="13.5">
      <c r="D266" s="156"/>
      <c r="F266" s="156"/>
      <c r="G266" s="156"/>
      <c r="H266" s="156"/>
      <c r="I266" s="156"/>
      <c r="J266" s="156"/>
      <c r="K266" s="156"/>
    </row>
    <row r="267" spans="4:11" ht="13.5">
      <c r="D267" s="156"/>
      <c r="F267" s="156"/>
      <c r="G267" s="156"/>
      <c r="H267" s="156"/>
      <c r="I267" s="156"/>
      <c r="J267" s="156"/>
      <c r="K267" s="156"/>
    </row>
    <row r="268" spans="4:11" ht="13.5">
      <c r="D268" s="156"/>
      <c r="F268" s="156"/>
      <c r="G268" s="156"/>
      <c r="H268" s="156"/>
      <c r="I268" s="156"/>
      <c r="J268" s="156"/>
      <c r="K268" s="156"/>
    </row>
    <row r="269" spans="4:11" ht="13.5">
      <c r="D269" s="156"/>
      <c r="F269" s="156"/>
      <c r="G269" s="156"/>
      <c r="H269" s="156"/>
      <c r="I269" s="156"/>
      <c r="J269" s="156"/>
      <c r="K269" s="156"/>
    </row>
    <row r="270" spans="4:11" ht="13.5">
      <c r="D270" s="156"/>
      <c r="F270" s="156"/>
      <c r="G270" s="156"/>
      <c r="H270" s="156"/>
      <c r="I270" s="156"/>
      <c r="J270" s="156"/>
      <c r="K270" s="156"/>
    </row>
    <row r="271" spans="4:11" ht="13.5">
      <c r="D271" s="156"/>
      <c r="F271" s="156"/>
      <c r="G271" s="156"/>
      <c r="H271" s="156"/>
      <c r="I271" s="156"/>
      <c r="J271" s="156"/>
      <c r="K271" s="156"/>
    </row>
    <row r="272" spans="4:11" ht="13.5">
      <c r="D272" s="156"/>
      <c r="F272" s="156"/>
      <c r="G272" s="156"/>
      <c r="H272" s="156"/>
      <c r="I272" s="156"/>
      <c r="J272" s="156"/>
      <c r="K272" s="156"/>
    </row>
    <row r="273" spans="4:11" ht="13.5">
      <c r="D273" s="156"/>
      <c r="F273" s="156"/>
      <c r="G273" s="156"/>
      <c r="H273" s="156"/>
      <c r="I273" s="156"/>
      <c r="J273" s="156"/>
      <c r="K273" s="156"/>
    </row>
    <row r="274" spans="4:11" ht="13.5">
      <c r="D274" s="156"/>
      <c r="F274" s="156"/>
      <c r="G274" s="156"/>
      <c r="H274" s="156"/>
      <c r="I274" s="156"/>
      <c r="J274" s="156"/>
      <c r="K274" s="156"/>
    </row>
    <row r="275" spans="4:11" ht="13.5">
      <c r="D275" s="156"/>
      <c r="F275" s="156"/>
      <c r="G275" s="156"/>
      <c r="H275" s="156"/>
      <c r="I275" s="156"/>
      <c r="J275" s="156"/>
      <c r="K275" s="156"/>
    </row>
    <row r="276" spans="4:11" ht="13.5">
      <c r="D276" s="156"/>
      <c r="F276" s="156"/>
      <c r="G276" s="156"/>
      <c r="H276" s="156"/>
      <c r="I276" s="156"/>
      <c r="J276" s="156"/>
      <c r="K276" s="156"/>
    </row>
    <row r="277" spans="4:11" ht="13.5">
      <c r="D277" s="156"/>
      <c r="F277" s="156"/>
      <c r="G277" s="156"/>
      <c r="H277" s="156"/>
      <c r="I277" s="156"/>
      <c r="J277" s="156"/>
      <c r="K277" s="156"/>
    </row>
    <row r="278" spans="4:11" ht="13.5">
      <c r="D278" s="156"/>
      <c r="F278" s="156"/>
      <c r="G278" s="156"/>
      <c r="H278" s="156"/>
      <c r="I278" s="156"/>
      <c r="J278" s="156"/>
      <c r="K278" s="156"/>
    </row>
    <row r="279" spans="4:11" ht="13.5">
      <c r="D279" s="156"/>
      <c r="F279" s="156"/>
      <c r="G279" s="156"/>
      <c r="H279" s="156"/>
      <c r="I279" s="156"/>
      <c r="J279" s="156"/>
      <c r="K279" s="156"/>
    </row>
    <row r="280" spans="4:11" ht="13.5">
      <c r="D280" s="156"/>
      <c r="F280" s="156"/>
      <c r="G280" s="156"/>
      <c r="H280" s="156"/>
      <c r="I280" s="156"/>
      <c r="J280" s="156"/>
      <c r="K280" s="156"/>
    </row>
    <row r="281" spans="4:11" ht="13.5">
      <c r="D281" s="156"/>
      <c r="F281" s="156"/>
      <c r="G281" s="156"/>
      <c r="H281" s="156"/>
      <c r="I281" s="156"/>
      <c r="J281" s="156"/>
      <c r="K281" s="156"/>
    </row>
    <row r="282" spans="4:11" ht="13.5">
      <c r="D282" s="156"/>
      <c r="F282" s="156"/>
      <c r="G282" s="156"/>
      <c r="H282" s="156"/>
      <c r="I282" s="156"/>
      <c r="J282" s="156"/>
      <c r="K282" s="156"/>
    </row>
    <row r="283" spans="4:11" ht="13.5">
      <c r="D283" s="156"/>
      <c r="F283" s="156"/>
      <c r="G283" s="156"/>
      <c r="H283" s="156"/>
      <c r="I283" s="156"/>
      <c r="J283" s="156"/>
      <c r="K283" s="156"/>
    </row>
    <row r="284" spans="4:11" ht="13.5">
      <c r="D284" s="156"/>
      <c r="F284" s="156"/>
      <c r="G284" s="156"/>
      <c r="H284" s="156"/>
      <c r="I284" s="156"/>
      <c r="J284" s="156"/>
      <c r="K284" s="156"/>
    </row>
  </sheetData>
  <sheetProtection/>
  <mergeCells count="1">
    <mergeCell ref="J1:L1"/>
  </mergeCell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dimension ref="A1:R118"/>
  <sheetViews>
    <sheetView zoomScale="90" zoomScaleNormal="90" zoomScalePageLayoutView="0" workbookViewId="0" topLeftCell="A1">
      <selection activeCell="A15" sqref="A15"/>
    </sheetView>
  </sheetViews>
  <sheetFormatPr defaultColWidth="9.140625" defaultRowHeight="12.75"/>
  <cols>
    <col min="1" max="1" width="75.57421875" style="3" customWidth="1"/>
    <col min="2" max="2" width="31.57421875" style="3" hidden="1" customWidth="1"/>
    <col min="3" max="3" width="17.57421875" style="3" hidden="1" customWidth="1"/>
    <col min="4" max="4" width="13.421875" style="3" hidden="1" customWidth="1"/>
    <col min="5" max="5" width="22.57421875" style="3" hidden="1" customWidth="1"/>
    <col min="6" max="6" width="20.57421875" style="3" hidden="1" customWidth="1"/>
    <col min="7" max="7" width="15.421875" style="3" hidden="1" customWidth="1"/>
    <col min="8" max="10" width="14.421875" style="3" hidden="1" customWidth="1"/>
    <col min="11" max="11" width="14.421875" style="27" hidden="1" customWidth="1"/>
    <col min="12" max="13" width="14.421875" style="27" customWidth="1"/>
    <col min="14" max="14" width="13.140625" style="3" customWidth="1"/>
    <col min="15" max="15" width="9.140625" style="3" hidden="1" customWidth="1"/>
    <col min="16" max="16" width="15.57421875" style="3" customWidth="1"/>
    <col min="17" max="17" width="16.00390625" style="3" customWidth="1"/>
    <col min="18" max="18" width="14.421875" style="3" customWidth="1"/>
    <col min="19" max="19" width="9.140625" style="3" customWidth="1"/>
    <col min="20" max="22" width="9.421875" style="3" bestFit="1" customWidth="1"/>
    <col min="23" max="16384" width="9.140625" style="3" customWidth="1"/>
  </cols>
  <sheetData>
    <row r="1" spans="12:14" ht="17.25">
      <c r="L1" s="990" t="s">
        <v>1083</v>
      </c>
      <c r="M1" s="990"/>
      <c r="N1" s="990"/>
    </row>
    <row r="2" ht="15">
      <c r="A2" s="707" t="s">
        <v>20</v>
      </c>
    </row>
    <row r="3" spans="1:13" s="1" customFormat="1" ht="17.25">
      <c r="A3" s="5" t="s">
        <v>1515</v>
      </c>
      <c r="K3" s="33"/>
      <c r="L3" s="33"/>
      <c r="M3" s="33"/>
    </row>
    <row r="4" ht="13.5">
      <c r="A4" s="696" t="s">
        <v>311</v>
      </c>
    </row>
    <row r="5" ht="15">
      <c r="A5" s="189"/>
    </row>
    <row r="6" spans="1:13" s="5" customFormat="1" ht="13.5">
      <c r="A6" s="5" t="s">
        <v>576</v>
      </c>
      <c r="K6" s="256"/>
      <c r="L6" s="256"/>
      <c r="M6" s="256"/>
    </row>
    <row r="8" spans="1:13" s="5" customFormat="1" ht="13.5">
      <c r="A8" s="5" t="s">
        <v>368</v>
      </c>
      <c r="K8" s="256"/>
      <c r="L8" s="256"/>
      <c r="M8" s="256"/>
    </row>
    <row r="9" spans="11:13" s="5" customFormat="1" ht="13.5">
      <c r="K9" s="256"/>
      <c r="L9" s="256"/>
      <c r="M9" s="256"/>
    </row>
    <row r="10" ht="13.5">
      <c r="A10" s="2" t="s">
        <v>577</v>
      </c>
    </row>
    <row r="11" spans="2:18" s="2" customFormat="1" ht="54">
      <c r="B11" s="8" t="s">
        <v>365</v>
      </c>
      <c r="C11" s="2" t="s">
        <v>22</v>
      </c>
      <c r="D11" s="8" t="s">
        <v>370</v>
      </c>
      <c r="E11" s="8" t="s">
        <v>529</v>
      </c>
      <c r="F11" s="8" t="s">
        <v>566</v>
      </c>
      <c r="G11" s="2" t="s">
        <v>22</v>
      </c>
      <c r="H11" s="8" t="s">
        <v>825</v>
      </c>
      <c r="I11" s="8" t="s">
        <v>921</v>
      </c>
      <c r="J11" s="8" t="s">
        <v>965</v>
      </c>
      <c r="K11" s="664" t="s">
        <v>1281</v>
      </c>
      <c r="L11" s="664" t="s">
        <v>1280</v>
      </c>
      <c r="M11" s="664" t="s">
        <v>1512</v>
      </c>
      <c r="N11" s="2" t="s">
        <v>22</v>
      </c>
      <c r="P11" s="660" t="s">
        <v>1513</v>
      </c>
      <c r="Q11" s="661" t="s">
        <v>1514</v>
      </c>
      <c r="R11" s="661"/>
    </row>
    <row r="12" spans="2:17" s="2" customFormat="1" ht="13.5">
      <c r="B12" s="8" t="s">
        <v>366</v>
      </c>
      <c r="D12" s="2" t="s">
        <v>366</v>
      </c>
      <c r="E12" s="2" t="s">
        <v>366</v>
      </c>
      <c r="F12" s="2" t="s">
        <v>366</v>
      </c>
      <c r="G12" s="2" t="s">
        <v>371</v>
      </c>
      <c r="J12" s="267" t="s">
        <v>366</v>
      </c>
      <c r="K12" s="263"/>
      <c r="L12" s="263"/>
      <c r="M12" s="263"/>
      <c r="N12" s="268">
        <v>0.06</v>
      </c>
      <c r="P12" s="268">
        <v>0.06</v>
      </c>
      <c r="Q12" s="268">
        <v>0.06</v>
      </c>
    </row>
    <row r="13" spans="2:17" s="2" customFormat="1" ht="13.5">
      <c r="B13" s="8"/>
      <c r="J13" s="267"/>
      <c r="K13" s="263" t="s">
        <v>366</v>
      </c>
      <c r="L13" s="263" t="s">
        <v>366</v>
      </c>
      <c r="M13" s="263" t="s">
        <v>366</v>
      </c>
      <c r="N13" s="268"/>
      <c r="P13" s="263" t="s">
        <v>366</v>
      </c>
      <c r="Q13" s="263" t="s">
        <v>366</v>
      </c>
    </row>
    <row r="14" spans="1:13" s="2" customFormat="1" ht="13.5">
      <c r="A14" s="2" t="s">
        <v>577</v>
      </c>
      <c r="C14" s="17"/>
      <c r="K14" s="35"/>
      <c r="L14" s="35"/>
      <c r="M14" s="35"/>
    </row>
    <row r="15" spans="1:17" ht="13.5">
      <c r="A15" s="3" t="s">
        <v>579</v>
      </c>
      <c r="B15" s="7">
        <v>46.656000000000006</v>
      </c>
      <c r="C15" s="7"/>
      <c r="D15" s="27">
        <f>B15*1.1</f>
        <v>51.32160000000001</v>
      </c>
      <c r="E15" s="27">
        <f>D15*1.1</f>
        <v>56.45376000000002</v>
      </c>
      <c r="F15" s="27">
        <f>E15*1.1</f>
        <v>62.09913600000002</v>
      </c>
      <c r="G15" s="4">
        <f>(F15-E15)/E15</f>
        <v>0.10000000000000007</v>
      </c>
      <c r="H15" s="112">
        <v>71.76176156160004</v>
      </c>
      <c r="I15" s="112">
        <f>H15*1.06</f>
        <v>76.06746725529605</v>
      </c>
      <c r="J15" s="265">
        <f>I15*1.06</f>
        <v>80.63151529061382</v>
      </c>
      <c r="K15" s="265">
        <f>(J15*$N$12)+J15</f>
        <v>85.46940620805064</v>
      </c>
      <c r="L15" s="265">
        <v>90.59757058053368</v>
      </c>
      <c r="M15" s="265">
        <f>(L15*N15)+L15</f>
        <v>96.0334248153657</v>
      </c>
      <c r="N15" s="111">
        <f>$N$12</f>
        <v>0.06</v>
      </c>
      <c r="P15" s="265">
        <f>(M15*$P$12)+M15</f>
        <v>101.79543030428765</v>
      </c>
      <c r="Q15" s="265">
        <f>(P15*$Q$12)+P15</f>
        <v>107.90315612254491</v>
      </c>
    </row>
    <row r="16" spans="1:17" s="2" customFormat="1" ht="13.5">
      <c r="A16" s="2" t="s">
        <v>586</v>
      </c>
      <c r="C16" s="9"/>
      <c r="F16" s="27"/>
      <c r="G16" s="4"/>
      <c r="H16" s="45"/>
      <c r="I16" s="112"/>
      <c r="J16" s="265"/>
      <c r="K16" s="265"/>
      <c r="L16" s="265"/>
      <c r="M16" s="265"/>
      <c r="N16" s="111"/>
      <c r="P16" s="265"/>
      <c r="Q16" s="265"/>
    </row>
    <row r="17" spans="1:17" ht="13.5">
      <c r="A17" s="3" t="s">
        <v>587</v>
      </c>
      <c r="B17" s="7">
        <v>122.66</v>
      </c>
      <c r="C17" s="4"/>
      <c r="D17" s="44">
        <f>B17*1.1</f>
        <v>134.92600000000002</v>
      </c>
      <c r="E17" s="27">
        <f aca="true" t="shared" si="0" ref="E17:F20">D17*1.1</f>
        <v>148.41860000000003</v>
      </c>
      <c r="F17" s="27">
        <f t="shared" si="0"/>
        <v>163.26046000000005</v>
      </c>
      <c r="G17" s="4">
        <f>(F17-E17)/E17</f>
        <v>0.10000000000000016</v>
      </c>
      <c r="H17" s="112">
        <v>188.66378757600006</v>
      </c>
      <c r="I17" s="112">
        <f aca="true" t="shared" si="1" ref="I17:J20">H17*1.06</f>
        <v>199.98361483056007</v>
      </c>
      <c r="J17" s="265">
        <f t="shared" si="1"/>
        <v>211.9826317203937</v>
      </c>
      <c r="K17" s="265">
        <f>(J17*$N$12)+J17</f>
        <v>224.7015896236173</v>
      </c>
      <c r="L17" s="265">
        <v>238.18368500103435</v>
      </c>
      <c r="M17" s="265">
        <f>(L17*N17)+L17</f>
        <v>252.47470610109642</v>
      </c>
      <c r="N17" s="111">
        <f>$N$12</f>
        <v>0.06</v>
      </c>
      <c r="P17" s="265">
        <f aca="true" t="shared" si="2" ref="P17:P79">(M17*$P$12)+M17</f>
        <v>267.6231884671622</v>
      </c>
      <c r="Q17" s="265">
        <f aca="true" t="shared" si="3" ref="Q17:Q79">(P17*$Q$12)+P17</f>
        <v>283.6805797751919</v>
      </c>
    </row>
    <row r="18" spans="1:17" ht="13.5">
      <c r="A18" s="3" t="s">
        <v>588</v>
      </c>
      <c r="B18" s="7">
        <v>183.99</v>
      </c>
      <c r="C18" s="4"/>
      <c r="D18" s="44">
        <f>B18*1.1</f>
        <v>202.38900000000004</v>
      </c>
      <c r="E18" s="27">
        <f t="shared" si="0"/>
        <v>222.62790000000007</v>
      </c>
      <c r="F18" s="27">
        <f t="shared" si="0"/>
        <v>244.8906900000001</v>
      </c>
      <c r="G18" s="4">
        <f>(F18-E18)/E18</f>
        <v>0.10000000000000007</v>
      </c>
      <c r="H18" s="112">
        <v>282.9956813640001</v>
      </c>
      <c r="I18" s="112">
        <f t="shared" si="1"/>
        <v>299.97542224584015</v>
      </c>
      <c r="J18" s="265">
        <f t="shared" si="1"/>
        <v>317.97394758059056</v>
      </c>
      <c r="K18" s="265">
        <f>(J18*$N$12)+J18</f>
        <v>337.052384435426</v>
      </c>
      <c r="L18" s="265">
        <v>357.27552750155155</v>
      </c>
      <c r="M18" s="265">
        <f>(L18*N18)+L18</f>
        <v>378.71205915164467</v>
      </c>
      <c r="N18" s="111">
        <f>$N$12</f>
        <v>0.06</v>
      </c>
      <c r="P18" s="265">
        <f t="shared" si="2"/>
        <v>401.43478270074337</v>
      </c>
      <c r="Q18" s="265">
        <f t="shared" si="3"/>
        <v>425.52086966278796</v>
      </c>
    </row>
    <row r="19" spans="1:17" ht="13.5">
      <c r="A19" s="3" t="s">
        <v>589</v>
      </c>
      <c r="B19" s="7">
        <v>183.99</v>
      </c>
      <c r="C19" s="4"/>
      <c r="D19" s="44">
        <f>B19*1.1</f>
        <v>202.38900000000004</v>
      </c>
      <c r="E19" s="27">
        <f t="shared" si="0"/>
        <v>222.62790000000007</v>
      </c>
      <c r="F19" s="27">
        <f t="shared" si="0"/>
        <v>244.8906900000001</v>
      </c>
      <c r="G19" s="4">
        <f>(F19-E19)/E19</f>
        <v>0.10000000000000007</v>
      </c>
      <c r="H19" s="112">
        <v>282.9956813640001</v>
      </c>
      <c r="I19" s="112">
        <f t="shared" si="1"/>
        <v>299.97542224584015</v>
      </c>
      <c r="J19" s="265">
        <f t="shared" si="1"/>
        <v>317.97394758059056</v>
      </c>
      <c r="K19" s="265">
        <f>(J19*$N$12)+J19</f>
        <v>337.052384435426</v>
      </c>
      <c r="L19" s="265">
        <v>357.27552750155155</v>
      </c>
      <c r="M19" s="265">
        <f>(L19*N19)+L19</f>
        <v>378.71205915164467</v>
      </c>
      <c r="N19" s="111">
        <f>$N$12</f>
        <v>0.06</v>
      </c>
      <c r="P19" s="265">
        <f t="shared" si="2"/>
        <v>401.43478270074337</v>
      </c>
      <c r="Q19" s="265">
        <f t="shared" si="3"/>
        <v>425.52086966278796</v>
      </c>
    </row>
    <row r="20" spans="1:17" ht="13.5">
      <c r="A20" s="3" t="s">
        <v>590</v>
      </c>
      <c r="B20" s="7">
        <v>245.31</v>
      </c>
      <c r="C20" s="4"/>
      <c r="D20" s="44">
        <f>B20*1.1</f>
        <v>269.841</v>
      </c>
      <c r="E20" s="27">
        <f t="shared" si="0"/>
        <v>296.8251</v>
      </c>
      <c r="F20" s="27">
        <f t="shared" si="0"/>
        <v>326.50761000000006</v>
      </c>
      <c r="G20" s="4">
        <f>(F20-E20)/E20</f>
        <v>0.10000000000000012</v>
      </c>
      <c r="H20" s="112">
        <v>377.3121941160001</v>
      </c>
      <c r="I20" s="112">
        <f t="shared" si="1"/>
        <v>399.95092576296014</v>
      </c>
      <c r="J20" s="265">
        <f t="shared" si="1"/>
        <v>423.9479813087378</v>
      </c>
      <c r="K20" s="265">
        <f>(J20*$N$12)+J20</f>
        <v>449.38486018726206</v>
      </c>
      <c r="L20" s="265">
        <v>476.3479517984978</v>
      </c>
      <c r="M20" s="265">
        <f>(L20*N20)+L20</f>
        <v>504.92882890640766</v>
      </c>
      <c r="N20" s="111">
        <f>$N$12</f>
        <v>0.06</v>
      </c>
      <c r="P20" s="265">
        <f t="shared" si="2"/>
        <v>535.2245586407921</v>
      </c>
      <c r="Q20" s="265">
        <f t="shared" si="3"/>
        <v>567.3380321592397</v>
      </c>
    </row>
    <row r="21" spans="2:17" ht="13.5">
      <c r="B21" s="7"/>
      <c r="C21" s="4"/>
      <c r="D21" s="44"/>
      <c r="E21" s="44"/>
      <c r="F21" s="27"/>
      <c r="G21" s="4"/>
      <c r="H21" s="45"/>
      <c r="I21" s="112"/>
      <c r="J21" s="265"/>
      <c r="K21" s="265"/>
      <c r="L21" s="265"/>
      <c r="M21" s="265"/>
      <c r="N21" s="111"/>
      <c r="P21" s="265"/>
      <c r="Q21" s="265"/>
    </row>
    <row r="22" spans="1:17" ht="13.5">
      <c r="A22" s="3" t="s">
        <v>591</v>
      </c>
      <c r="B22" s="7">
        <v>95.75</v>
      </c>
      <c r="C22" s="4"/>
      <c r="D22" s="44">
        <f>B22*1.1</f>
        <v>105.325</v>
      </c>
      <c r="E22" s="27">
        <f aca="true" t="shared" si="4" ref="E22:F25">D22*1.1</f>
        <v>115.85750000000002</v>
      </c>
      <c r="F22" s="27">
        <f t="shared" si="4"/>
        <v>127.44325000000003</v>
      </c>
      <c r="G22" s="4">
        <f>(F22-E22)/E22</f>
        <v>0.10000000000000014</v>
      </c>
      <c r="H22" s="112">
        <v>147.27341970000006</v>
      </c>
      <c r="I22" s="112">
        <f aca="true" t="shared" si="5" ref="I22:J25">H22*1.06</f>
        <v>156.10982488200008</v>
      </c>
      <c r="J22" s="265">
        <f t="shared" si="5"/>
        <v>165.4764143749201</v>
      </c>
      <c r="K22" s="265">
        <f>(J22*$N$12)+J22</f>
        <v>175.4049992374153</v>
      </c>
      <c r="L22" s="265">
        <v>185.92929919166022</v>
      </c>
      <c r="M22" s="265">
        <f>(L22*N22)+L22</f>
        <v>197.08505714315984</v>
      </c>
      <c r="N22" s="111">
        <f>$N$12</f>
        <v>0.06</v>
      </c>
      <c r="P22" s="265">
        <f t="shared" si="2"/>
        <v>208.91016057174943</v>
      </c>
      <c r="Q22" s="265">
        <f t="shared" si="3"/>
        <v>221.4447702060544</v>
      </c>
    </row>
    <row r="23" spans="1:17" ht="13.5">
      <c r="A23" s="3" t="s">
        <v>592</v>
      </c>
      <c r="B23" s="7">
        <v>143.62</v>
      </c>
      <c r="C23" s="4"/>
      <c r="D23" s="44">
        <f>B23*1.1</f>
        <v>157.98200000000003</v>
      </c>
      <c r="E23" s="27">
        <f t="shared" si="4"/>
        <v>173.78020000000004</v>
      </c>
      <c r="F23" s="27">
        <f t="shared" si="4"/>
        <v>191.15822000000006</v>
      </c>
      <c r="G23" s="4">
        <f>(F23-E23)/E23</f>
        <v>0.1000000000000001</v>
      </c>
      <c r="H23" s="112">
        <v>220.90243903200007</v>
      </c>
      <c r="I23" s="112">
        <f t="shared" si="5"/>
        <v>234.15658537392008</v>
      </c>
      <c r="J23" s="265">
        <f t="shared" si="5"/>
        <v>248.2059804963553</v>
      </c>
      <c r="K23" s="265">
        <f>(J23*$N$12)+J23</f>
        <v>263.0983393261366</v>
      </c>
      <c r="L23" s="265">
        <v>278.8842396857048</v>
      </c>
      <c r="M23" s="265">
        <f>(L23*N23)+L23</f>
        <v>295.6172940668471</v>
      </c>
      <c r="N23" s="111">
        <f>$N$12</f>
        <v>0.06</v>
      </c>
      <c r="P23" s="265">
        <f t="shared" si="2"/>
        <v>313.3543317108579</v>
      </c>
      <c r="Q23" s="265">
        <f t="shared" si="3"/>
        <v>332.15559161350933</v>
      </c>
    </row>
    <row r="24" spans="1:17" ht="13.5">
      <c r="A24" s="3" t="s">
        <v>593</v>
      </c>
      <c r="B24" s="7">
        <v>143.62</v>
      </c>
      <c r="C24" s="4"/>
      <c r="D24" s="44">
        <f>B24*1.1</f>
        <v>157.98200000000003</v>
      </c>
      <c r="E24" s="27">
        <f t="shared" si="4"/>
        <v>173.78020000000004</v>
      </c>
      <c r="F24" s="27">
        <f t="shared" si="4"/>
        <v>191.15822000000006</v>
      </c>
      <c r="G24" s="4">
        <f>(F24-E24)/E24</f>
        <v>0.1000000000000001</v>
      </c>
      <c r="H24" s="112">
        <v>220.90243903200007</v>
      </c>
      <c r="I24" s="112">
        <f t="shared" si="5"/>
        <v>234.15658537392008</v>
      </c>
      <c r="J24" s="265">
        <f t="shared" si="5"/>
        <v>248.2059804963553</v>
      </c>
      <c r="K24" s="265">
        <f>(J24*$N$12)+J24</f>
        <v>263.0983393261366</v>
      </c>
      <c r="L24" s="265">
        <v>278.8842396857048</v>
      </c>
      <c r="M24" s="265">
        <f>(L24*N24)+L24</f>
        <v>295.6172940668471</v>
      </c>
      <c r="N24" s="111">
        <f>$N$12</f>
        <v>0.06</v>
      </c>
      <c r="P24" s="265">
        <f t="shared" si="2"/>
        <v>313.3543317108579</v>
      </c>
      <c r="Q24" s="265">
        <f t="shared" si="3"/>
        <v>332.15559161350933</v>
      </c>
    </row>
    <row r="25" spans="1:17" ht="13.5">
      <c r="A25" s="3" t="s">
        <v>594</v>
      </c>
      <c r="B25" s="7">
        <v>191.49</v>
      </c>
      <c r="C25" s="4"/>
      <c r="D25" s="44">
        <f>B25*1.1</f>
        <v>210.63900000000004</v>
      </c>
      <c r="E25" s="27">
        <f t="shared" si="4"/>
        <v>231.70290000000006</v>
      </c>
      <c r="F25" s="27">
        <f t="shared" si="4"/>
        <v>254.87319000000008</v>
      </c>
      <c r="G25" s="4">
        <f>(F25-E25)/E25</f>
        <v>0.10000000000000007</v>
      </c>
      <c r="H25" s="112">
        <v>294.5314583640001</v>
      </c>
      <c r="I25" s="112">
        <f t="shared" si="5"/>
        <v>312.20334586584016</v>
      </c>
      <c r="J25" s="265">
        <f t="shared" si="5"/>
        <v>330.9355466177906</v>
      </c>
      <c r="K25" s="265">
        <f>(J25*$N$12)+J25</f>
        <v>350.79167941485804</v>
      </c>
      <c r="L25" s="265">
        <v>371.8391801797495</v>
      </c>
      <c r="M25" s="265">
        <f>(L25*N25)+L25</f>
        <v>394.1495309905345</v>
      </c>
      <c r="N25" s="111">
        <f>$N$12</f>
        <v>0.06</v>
      </c>
      <c r="P25" s="265">
        <f t="shared" si="2"/>
        <v>417.7985028499666</v>
      </c>
      <c r="Q25" s="265">
        <f t="shared" si="3"/>
        <v>442.8664130209646</v>
      </c>
    </row>
    <row r="26" spans="2:17" ht="13.5">
      <c r="B26" s="7"/>
      <c r="C26" s="4"/>
      <c r="D26" s="44"/>
      <c r="E26" s="44"/>
      <c r="F26" s="27"/>
      <c r="G26" s="4"/>
      <c r="H26" s="45"/>
      <c r="I26" s="112"/>
      <c r="J26" s="265"/>
      <c r="K26" s="265"/>
      <c r="L26" s="265"/>
      <c r="M26" s="265"/>
      <c r="N26" s="111"/>
      <c r="P26" s="265"/>
      <c r="Q26" s="265"/>
    </row>
    <row r="27" spans="1:17" ht="13.5">
      <c r="A27" s="3" t="s">
        <v>595</v>
      </c>
      <c r="B27" s="7">
        <v>75.44</v>
      </c>
      <c r="C27" s="4"/>
      <c r="D27" s="44">
        <f>B27*1.1</f>
        <v>82.98400000000001</v>
      </c>
      <c r="E27" s="27">
        <f aca="true" t="shared" si="6" ref="E27:F30">D27*1.1</f>
        <v>91.28240000000002</v>
      </c>
      <c r="F27" s="27">
        <f t="shared" si="6"/>
        <v>100.41064000000003</v>
      </c>
      <c r="G27" s="4">
        <f>(F27-E27)/E27</f>
        <v>0.10000000000000003</v>
      </c>
      <c r="H27" s="112">
        <v>116.03453558400005</v>
      </c>
      <c r="I27" s="112">
        <f aca="true" t="shared" si="7" ref="I27:J30">H27*1.06</f>
        <v>122.99660771904006</v>
      </c>
      <c r="J27" s="265">
        <f t="shared" si="7"/>
        <v>130.37640418218245</v>
      </c>
      <c r="K27" s="265">
        <f>(J27*$N$12)+J27</f>
        <v>138.1989884331134</v>
      </c>
      <c r="L27" s="265">
        <v>146.49092773910021</v>
      </c>
      <c r="M27" s="265">
        <f>(L27*N27)+L27</f>
        <v>155.28038340344622</v>
      </c>
      <c r="N27" s="111">
        <f>$N$12</f>
        <v>0.06</v>
      </c>
      <c r="P27" s="265">
        <f t="shared" si="2"/>
        <v>164.597206407653</v>
      </c>
      <c r="Q27" s="265">
        <f t="shared" si="3"/>
        <v>174.4730387921122</v>
      </c>
    </row>
    <row r="28" spans="1:17" ht="13.5">
      <c r="A28" s="3" t="s">
        <v>596</v>
      </c>
      <c r="B28" s="7">
        <v>113.16</v>
      </c>
      <c r="C28" s="4"/>
      <c r="D28" s="44">
        <f>B28*1.1</f>
        <v>124.47600000000001</v>
      </c>
      <c r="E28" s="27">
        <f t="shared" si="6"/>
        <v>136.92360000000002</v>
      </c>
      <c r="F28" s="27">
        <f t="shared" si="6"/>
        <v>150.61596000000003</v>
      </c>
      <c r="G28" s="4">
        <f>(F28-E28)/E28</f>
        <v>0.10000000000000005</v>
      </c>
      <c r="H28" s="112">
        <v>174.05180337600004</v>
      </c>
      <c r="I28" s="112">
        <f t="shared" si="7"/>
        <v>184.49491157856005</v>
      </c>
      <c r="J28" s="265">
        <f t="shared" si="7"/>
        <v>195.56460627327365</v>
      </c>
      <c r="K28" s="265">
        <f>(J28*$N$12)+J28</f>
        <v>207.29848264967006</v>
      </c>
      <c r="L28" s="265">
        <v>219.73639160865028</v>
      </c>
      <c r="M28" s="265">
        <f>(L28*N28)+L28</f>
        <v>232.9205751051693</v>
      </c>
      <c r="N28" s="111">
        <f>$N$12</f>
        <v>0.06</v>
      </c>
      <c r="P28" s="265">
        <f t="shared" si="2"/>
        <v>246.89580961147945</v>
      </c>
      <c r="Q28" s="265">
        <f t="shared" si="3"/>
        <v>261.7095581881682</v>
      </c>
    </row>
    <row r="29" spans="1:17" ht="13.5">
      <c r="A29" s="3" t="s">
        <v>597</v>
      </c>
      <c r="B29" s="7">
        <v>113.16</v>
      </c>
      <c r="C29" s="4"/>
      <c r="D29" s="44">
        <f>B29*1.1</f>
        <v>124.47600000000001</v>
      </c>
      <c r="E29" s="27">
        <f t="shared" si="6"/>
        <v>136.92360000000002</v>
      </c>
      <c r="F29" s="27">
        <f t="shared" si="6"/>
        <v>150.61596000000003</v>
      </c>
      <c r="G29" s="4">
        <f>(F29-E29)/E29</f>
        <v>0.10000000000000005</v>
      </c>
      <c r="H29" s="112">
        <v>174.05180337600004</v>
      </c>
      <c r="I29" s="112">
        <f t="shared" si="7"/>
        <v>184.49491157856005</v>
      </c>
      <c r="J29" s="265">
        <f t="shared" si="7"/>
        <v>195.56460627327365</v>
      </c>
      <c r="K29" s="265">
        <f>(J29*$N$12)+J29</f>
        <v>207.29848264967006</v>
      </c>
      <c r="L29" s="265">
        <v>219.73639160865028</v>
      </c>
      <c r="M29" s="265">
        <f>(L29*N29)+L29</f>
        <v>232.9205751051693</v>
      </c>
      <c r="N29" s="111">
        <f>$N$12</f>
        <v>0.06</v>
      </c>
      <c r="P29" s="265">
        <f t="shared" si="2"/>
        <v>246.89580961147945</v>
      </c>
      <c r="Q29" s="265">
        <f t="shared" si="3"/>
        <v>261.7095581881682</v>
      </c>
    </row>
    <row r="30" spans="1:17" ht="13.5">
      <c r="A30" s="3" t="s">
        <v>598</v>
      </c>
      <c r="B30" s="7">
        <v>150.88</v>
      </c>
      <c r="C30" s="4"/>
      <c r="D30" s="44">
        <f>B30*1.1</f>
        <v>165.96800000000002</v>
      </c>
      <c r="E30" s="27">
        <f t="shared" si="6"/>
        <v>182.56480000000005</v>
      </c>
      <c r="F30" s="27">
        <f t="shared" si="6"/>
        <v>200.82128000000006</v>
      </c>
      <c r="G30" s="4">
        <f>(F30-E30)/E30</f>
        <v>0.10000000000000003</v>
      </c>
      <c r="H30" s="112">
        <v>232.0690711680001</v>
      </c>
      <c r="I30" s="112">
        <f t="shared" si="7"/>
        <v>245.9932154380801</v>
      </c>
      <c r="J30" s="265">
        <f t="shared" si="7"/>
        <v>260.7528083643649</v>
      </c>
      <c r="K30" s="265">
        <f>(J30*$N$12)+J30</f>
        <v>276.3979768662268</v>
      </c>
      <c r="L30" s="265">
        <v>292.98185547820043</v>
      </c>
      <c r="M30" s="265">
        <f>(L30*N30)+L30</f>
        <v>310.56076680689245</v>
      </c>
      <c r="N30" s="111">
        <f>$N$12</f>
        <v>0.06</v>
      </c>
      <c r="P30" s="265">
        <f t="shared" si="2"/>
        <v>329.194412815306</v>
      </c>
      <c r="Q30" s="265">
        <f t="shared" si="3"/>
        <v>348.9460775842244</v>
      </c>
    </row>
    <row r="31" spans="2:17" ht="13.5">
      <c r="B31" s="7"/>
      <c r="C31" s="4"/>
      <c r="D31" s="44"/>
      <c r="E31" s="44"/>
      <c r="F31" s="27"/>
      <c r="G31" s="4"/>
      <c r="H31" s="45"/>
      <c r="I31" s="112"/>
      <c r="J31" s="265"/>
      <c r="K31" s="265"/>
      <c r="L31" s="265"/>
      <c r="M31" s="265"/>
      <c r="N31" s="111"/>
      <c r="P31" s="265"/>
      <c r="Q31" s="265"/>
    </row>
    <row r="32" spans="1:17" ht="13.5">
      <c r="A32" s="3" t="s">
        <v>599</v>
      </c>
      <c r="B32" s="7">
        <v>66.62</v>
      </c>
      <c r="C32" s="4"/>
      <c r="D32" s="44">
        <f>B32*1.1</f>
        <v>73.28200000000001</v>
      </c>
      <c r="E32" s="27">
        <f aca="true" t="shared" si="8" ref="E32:F35">D32*1.1</f>
        <v>80.61020000000002</v>
      </c>
      <c r="F32" s="27">
        <f t="shared" si="8"/>
        <v>88.67122000000003</v>
      </c>
      <c r="G32" s="4">
        <f>(F32-E32)/E32</f>
        <v>0.10000000000000014</v>
      </c>
      <c r="H32" s="112">
        <v>102.46846183200006</v>
      </c>
      <c r="I32" s="112">
        <f aca="true" t="shared" si="9" ref="I32:J35">H32*1.06</f>
        <v>108.61656954192007</v>
      </c>
      <c r="J32" s="265">
        <f t="shared" si="9"/>
        <v>115.13356371443528</v>
      </c>
      <c r="K32" s="265">
        <f>(J32*$N$12)+J32</f>
        <v>122.04157753730141</v>
      </c>
      <c r="L32" s="265">
        <v>129.36407218953948</v>
      </c>
      <c r="M32" s="265">
        <f>(L32*N32)+L32</f>
        <v>137.12591652091186</v>
      </c>
      <c r="N32" s="111">
        <f>$N$12</f>
        <v>0.06</v>
      </c>
      <c r="P32" s="265">
        <f t="shared" si="2"/>
        <v>145.35347151216658</v>
      </c>
      <c r="Q32" s="265">
        <f t="shared" si="3"/>
        <v>154.07467980289658</v>
      </c>
    </row>
    <row r="33" spans="1:17" ht="13.5">
      <c r="A33" s="3" t="s">
        <v>600</v>
      </c>
      <c r="B33" s="7">
        <v>99.92</v>
      </c>
      <c r="C33" s="4"/>
      <c r="D33" s="44">
        <f>B33*1.1</f>
        <v>109.912</v>
      </c>
      <c r="E33" s="27">
        <f t="shared" si="8"/>
        <v>120.90320000000001</v>
      </c>
      <c r="F33" s="27">
        <f t="shared" si="8"/>
        <v>132.99352000000002</v>
      </c>
      <c r="G33" s="4">
        <f>(F33-E33)/E33</f>
        <v>0.10000000000000003</v>
      </c>
      <c r="H33" s="112">
        <v>153.68731171200005</v>
      </c>
      <c r="I33" s="112">
        <f t="shared" si="9"/>
        <v>162.90855041472005</v>
      </c>
      <c r="J33" s="265">
        <f t="shared" si="9"/>
        <v>172.68306343960327</v>
      </c>
      <c r="K33" s="265">
        <f>(J33*$N$12)+J33</f>
        <v>183.04404724597947</v>
      </c>
      <c r="L33" s="265">
        <v>194.02669008073823</v>
      </c>
      <c r="M33" s="265">
        <f>(L33*N33)+L33</f>
        <v>205.66829148558253</v>
      </c>
      <c r="N33" s="111">
        <f>$N$12</f>
        <v>0.06</v>
      </c>
      <c r="P33" s="265">
        <f t="shared" si="2"/>
        <v>218.0083889747175</v>
      </c>
      <c r="Q33" s="265">
        <f t="shared" si="3"/>
        <v>231.08889231320055</v>
      </c>
    </row>
    <row r="34" spans="1:17" ht="13.5">
      <c r="A34" s="3" t="s">
        <v>601</v>
      </c>
      <c r="B34" s="7">
        <v>99.92</v>
      </c>
      <c r="C34" s="4"/>
      <c r="D34" s="44">
        <f>B34*1.1</f>
        <v>109.912</v>
      </c>
      <c r="E34" s="27">
        <f t="shared" si="8"/>
        <v>120.90320000000001</v>
      </c>
      <c r="F34" s="27">
        <f t="shared" si="8"/>
        <v>132.99352000000002</v>
      </c>
      <c r="G34" s="4">
        <f>(F34-E34)/E34</f>
        <v>0.10000000000000003</v>
      </c>
      <c r="H34" s="112">
        <v>153.68731171200005</v>
      </c>
      <c r="I34" s="112">
        <f t="shared" si="9"/>
        <v>162.90855041472005</v>
      </c>
      <c r="J34" s="265">
        <f t="shared" si="9"/>
        <v>172.68306343960327</v>
      </c>
      <c r="K34" s="265">
        <f>(J34*$N$12)+J34</f>
        <v>183.04404724597947</v>
      </c>
      <c r="L34" s="265">
        <v>194.02669008073823</v>
      </c>
      <c r="M34" s="265">
        <f>(L34*N34)+L34</f>
        <v>205.66829148558253</v>
      </c>
      <c r="N34" s="111">
        <f>$N$12</f>
        <v>0.06</v>
      </c>
      <c r="P34" s="265">
        <f t="shared" si="2"/>
        <v>218.0083889747175</v>
      </c>
      <c r="Q34" s="265">
        <f t="shared" si="3"/>
        <v>231.08889231320055</v>
      </c>
    </row>
    <row r="35" spans="1:17" ht="13.5">
      <c r="A35" s="3" t="s">
        <v>602</v>
      </c>
      <c r="B35" s="7">
        <v>133.23</v>
      </c>
      <c r="C35" s="4"/>
      <c r="D35" s="44">
        <f>B35*1.1</f>
        <v>146.553</v>
      </c>
      <c r="E35" s="27">
        <f t="shared" si="8"/>
        <v>161.2083</v>
      </c>
      <c r="F35" s="27">
        <f t="shared" si="8"/>
        <v>177.32913000000002</v>
      </c>
      <c r="G35" s="4">
        <f>(F35-E35)/E35</f>
        <v>0.10000000000000007</v>
      </c>
      <c r="H35" s="112">
        <v>204.92154262800003</v>
      </c>
      <c r="I35" s="112">
        <f t="shared" si="9"/>
        <v>217.21683518568003</v>
      </c>
      <c r="J35" s="265">
        <f t="shared" si="9"/>
        <v>230.24984529682084</v>
      </c>
      <c r="K35" s="265">
        <f>(J35*$N$12)+J35</f>
        <v>244.0648360146301</v>
      </c>
      <c r="L35" s="265">
        <v>258.7087261755079</v>
      </c>
      <c r="M35" s="265">
        <f>(L35*N35)+L35</f>
        <v>274.2312497460384</v>
      </c>
      <c r="N35" s="111">
        <f>$N$12</f>
        <v>0.06</v>
      </c>
      <c r="P35" s="265">
        <f t="shared" si="2"/>
        <v>290.6851247308007</v>
      </c>
      <c r="Q35" s="265">
        <f t="shared" si="3"/>
        <v>308.1262322146487</v>
      </c>
    </row>
    <row r="36" spans="2:17" ht="13.5">
      <c r="B36" s="7"/>
      <c r="C36" s="4"/>
      <c r="D36" s="44"/>
      <c r="E36" s="44"/>
      <c r="F36" s="27"/>
      <c r="G36" s="4"/>
      <c r="H36" s="45"/>
      <c r="I36" s="112"/>
      <c r="J36" s="265"/>
      <c r="K36" s="265"/>
      <c r="L36" s="265"/>
      <c r="M36" s="265"/>
      <c r="N36" s="111"/>
      <c r="P36" s="265"/>
      <c r="Q36" s="265"/>
    </row>
    <row r="37" spans="1:17" ht="13.5">
      <c r="A37" s="3" t="s">
        <v>603</v>
      </c>
      <c r="B37" s="7">
        <v>66.62</v>
      </c>
      <c r="C37" s="4"/>
      <c r="D37" s="44">
        <f>B37*1.1</f>
        <v>73.28200000000001</v>
      </c>
      <c r="E37" s="27">
        <f aca="true" t="shared" si="10" ref="E37:F40">D37*1.1</f>
        <v>80.61020000000002</v>
      </c>
      <c r="F37" s="27">
        <f t="shared" si="10"/>
        <v>88.67122000000003</v>
      </c>
      <c r="G37" s="4">
        <f>(F37-E37)/E37</f>
        <v>0.10000000000000014</v>
      </c>
      <c r="H37" s="112">
        <v>102.46846183200006</v>
      </c>
      <c r="I37" s="112">
        <f aca="true" t="shared" si="11" ref="I37:J40">H37*1.06</f>
        <v>108.61656954192007</v>
      </c>
      <c r="J37" s="265">
        <f t="shared" si="11"/>
        <v>115.13356371443528</v>
      </c>
      <c r="K37" s="265">
        <f>(J37*$N$12)+J37</f>
        <v>122.04157753730141</v>
      </c>
      <c r="L37" s="265">
        <v>129.36407218953948</v>
      </c>
      <c r="M37" s="265">
        <f>(L37*N37)+L37</f>
        <v>137.12591652091186</v>
      </c>
      <c r="N37" s="111">
        <f>$N$12</f>
        <v>0.06</v>
      </c>
      <c r="P37" s="265">
        <f t="shared" si="2"/>
        <v>145.35347151216658</v>
      </c>
      <c r="Q37" s="265">
        <f t="shared" si="3"/>
        <v>154.07467980289658</v>
      </c>
    </row>
    <row r="38" spans="1:17" ht="13.5">
      <c r="A38" s="3" t="s">
        <v>604</v>
      </c>
      <c r="B38" s="7">
        <v>99.92</v>
      </c>
      <c r="C38" s="4"/>
      <c r="D38" s="44">
        <f>B38*1.1</f>
        <v>109.912</v>
      </c>
      <c r="E38" s="27">
        <f t="shared" si="10"/>
        <v>120.90320000000001</v>
      </c>
      <c r="F38" s="27">
        <f t="shared" si="10"/>
        <v>132.99352000000002</v>
      </c>
      <c r="G38" s="4">
        <f>(F38-E38)/E38</f>
        <v>0.10000000000000003</v>
      </c>
      <c r="H38" s="112">
        <v>153.68731171200005</v>
      </c>
      <c r="I38" s="112">
        <f t="shared" si="11"/>
        <v>162.90855041472005</v>
      </c>
      <c r="J38" s="265">
        <f t="shared" si="11"/>
        <v>172.68306343960327</v>
      </c>
      <c r="K38" s="265">
        <f>(J38*$N$12)+J38</f>
        <v>183.04404724597947</v>
      </c>
      <c r="L38" s="265">
        <v>194.02669008073823</v>
      </c>
      <c r="M38" s="265">
        <f>(L38*N38)+L38</f>
        <v>205.66829148558253</v>
      </c>
      <c r="N38" s="111">
        <f>$N$12</f>
        <v>0.06</v>
      </c>
      <c r="P38" s="265">
        <f t="shared" si="2"/>
        <v>218.0083889747175</v>
      </c>
      <c r="Q38" s="265">
        <f t="shared" si="3"/>
        <v>231.08889231320055</v>
      </c>
    </row>
    <row r="39" spans="1:17" ht="13.5">
      <c r="A39" s="3" t="s">
        <v>605</v>
      </c>
      <c r="B39" s="7">
        <v>99.92</v>
      </c>
      <c r="C39" s="4"/>
      <c r="D39" s="44">
        <f>B39*1.1</f>
        <v>109.912</v>
      </c>
      <c r="E39" s="27">
        <f t="shared" si="10"/>
        <v>120.90320000000001</v>
      </c>
      <c r="F39" s="27">
        <f t="shared" si="10"/>
        <v>132.99352000000002</v>
      </c>
      <c r="G39" s="4">
        <f>(F39-E39)/E39</f>
        <v>0.10000000000000003</v>
      </c>
      <c r="H39" s="112">
        <v>153.68731171200005</v>
      </c>
      <c r="I39" s="112">
        <f t="shared" si="11"/>
        <v>162.90855041472005</v>
      </c>
      <c r="J39" s="265">
        <f t="shared" si="11"/>
        <v>172.68306343960327</v>
      </c>
      <c r="K39" s="265">
        <f>(J39*$N$12)+J39</f>
        <v>183.04404724597947</v>
      </c>
      <c r="L39" s="265">
        <v>194.02669008073823</v>
      </c>
      <c r="M39" s="265">
        <f>(L39*N39)+L39</f>
        <v>205.66829148558253</v>
      </c>
      <c r="N39" s="111">
        <f>$N$12</f>
        <v>0.06</v>
      </c>
      <c r="P39" s="265">
        <f t="shared" si="2"/>
        <v>218.0083889747175</v>
      </c>
      <c r="Q39" s="265">
        <f t="shared" si="3"/>
        <v>231.08889231320055</v>
      </c>
    </row>
    <row r="40" spans="1:17" ht="13.5">
      <c r="A40" s="3" t="s">
        <v>606</v>
      </c>
      <c r="B40" s="7">
        <v>133.23</v>
      </c>
      <c r="C40" s="4"/>
      <c r="D40" s="44">
        <f>B40*1.1</f>
        <v>146.553</v>
      </c>
      <c r="E40" s="27">
        <f t="shared" si="10"/>
        <v>161.2083</v>
      </c>
      <c r="F40" s="27">
        <f t="shared" si="10"/>
        <v>177.32913000000002</v>
      </c>
      <c r="G40" s="4">
        <f>(F40-E40)/E40</f>
        <v>0.10000000000000007</v>
      </c>
      <c r="H40" s="112">
        <v>204.92154262800003</v>
      </c>
      <c r="I40" s="112">
        <f t="shared" si="11"/>
        <v>217.21683518568003</v>
      </c>
      <c r="J40" s="265">
        <f t="shared" si="11"/>
        <v>230.24984529682084</v>
      </c>
      <c r="K40" s="265">
        <f>(J40*$N$12)+J40</f>
        <v>244.0648360146301</v>
      </c>
      <c r="L40" s="265">
        <v>258.7087261755079</v>
      </c>
      <c r="M40" s="265">
        <f>(L40*N40)+L40</f>
        <v>274.2312497460384</v>
      </c>
      <c r="N40" s="111">
        <f>$N$12</f>
        <v>0.06</v>
      </c>
      <c r="P40" s="265">
        <f t="shared" si="2"/>
        <v>290.6851247308007</v>
      </c>
      <c r="Q40" s="265">
        <f t="shared" si="3"/>
        <v>308.1262322146487</v>
      </c>
    </row>
    <row r="41" spans="2:17" ht="13.5">
      <c r="B41" s="7"/>
      <c r="C41" s="4"/>
      <c r="D41" s="44"/>
      <c r="E41" s="44"/>
      <c r="F41" s="27"/>
      <c r="G41" s="4"/>
      <c r="H41" s="45"/>
      <c r="I41" s="112"/>
      <c r="J41" s="265"/>
      <c r="K41" s="265"/>
      <c r="L41" s="265"/>
      <c r="M41" s="265"/>
      <c r="N41" s="111"/>
      <c r="P41" s="265"/>
      <c r="Q41" s="265"/>
    </row>
    <row r="42" spans="1:17" ht="13.5">
      <c r="A42" s="3" t="s">
        <v>607</v>
      </c>
      <c r="B42" s="7">
        <v>66.62</v>
      </c>
      <c r="C42" s="4"/>
      <c r="D42" s="44">
        <f>B42*1.1</f>
        <v>73.28200000000001</v>
      </c>
      <c r="E42" s="27">
        <f aca="true" t="shared" si="12" ref="E42:F45">D42*1.1</f>
        <v>80.61020000000002</v>
      </c>
      <c r="F42" s="27">
        <f t="shared" si="12"/>
        <v>88.67122000000003</v>
      </c>
      <c r="G42" s="4">
        <f>(F42-E42)/E42</f>
        <v>0.10000000000000014</v>
      </c>
      <c r="H42" s="112">
        <v>102.46846183200006</v>
      </c>
      <c r="I42" s="112">
        <f aca="true" t="shared" si="13" ref="I42:J45">H42*1.06</f>
        <v>108.61656954192007</v>
      </c>
      <c r="J42" s="265">
        <f t="shared" si="13"/>
        <v>115.13356371443528</v>
      </c>
      <c r="K42" s="265">
        <f>(J42*$N$12)+J42</f>
        <v>122.04157753730141</v>
      </c>
      <c r="L42" s="265">
        <v>129.36407218953948</v>
      </c>
      <c r="M42" s="265">
        <f>(L42*N42)+L42</f>
        <v>137.12591652091186</v>
      </c>
      <c r="N42" s="111">
        <f>$N$12</f>
        <v>0.06</v>
      </c>
      <c r="P42" s="265">
        <f t="shared" si="2"/>
        <v>145.35347151216658</v>
      </c>
      <c r="Q42" s="265">
        <f t="shared" si="3"/>
        <v>154.07467980289658</v>
      </c>
    </row>
    <row r="43" spans="1:17" ht="13.5">
      <c r="A43" s="3" t="s">
        <v>608</v>
      </c>
      <c r="B43" s="7">
        <v>99.92</v>
      </c>
      <c r="C43" s="4"/>
      <c r="D43" s="44">
        <f>B43*1.1</f>
        <v>109.912</v>
      </c>
      <c r="E43" s="27">
        <f t="shared" si="12"/>
        <v>120.90320000000001</v>
      </c>
      <c r="F43" s="27">
        <f t="shared" si="12"/>
        <v>132.99352000000002</v>
      </c>
      <c r="G43" s="4">
        <f>(F43-E43)/E43</f>
        <v>0.10000000000000003</v>
      </c>
      <c r="H43" s="112">
        <v>153.68731171200005</v>
      </c>
      <c r="I43" s="112">
        <f t="shared" si="13"/>
        <v>162.90855041472005</v>
      </c>
      <c r="J43" s="265">
        <f t="shared" si="13"/>
        <v>172.68306343960327</v>
      </c>
      <c r="K43" s="265">
        <f>(J43*$N$12)+J43</f>
        <v>183.04404724597947</v>
      </c>
      <c r="L43" s="265">
        <v>194.02669008073823</v>
      </c>
      <c r="M43" s="265">
        <f>(L43*N43)+L43</f>
        <v>205.66829148558253</v>
      </c>
      <c r="N43" s="111">
        <f>$N$12</f>
        <v>0.06</v>
      </c>
      <c r="P43" s="265">
        <f t="shared" si="2"/>
        <v>218.0083889747175</v>
      </c>
      <c r="Q43" s="265">
        <f t="shared" si="3"/>
        <v>231.08889231320055</v>
      </c>
    </row>
    <row r="44" spans="1:17" ht="13.5">
      <c r="A44" s="3" t="s">
        <v>609</v>
      </c>
      <c r="B44" s="7">
        <v>99.92</v>
      </c>
      <c r="C44" s="4"/>
      <c r="D44" s="44">
        <f>B44*1.1</f>
        <v>109.912</v>
      </c>
      <c r="E44" s="27">
        <f t="shared" si="12"/>
        <v>120.90320000000001</v>
      </c>
      <c r="F44" s="27">
        <f t="shared" si="12"/>
        <v>132.99352000000002</v>
      </c>
      <c r="G44" s="4">
        <f>(F44-E44)/E44</f>
        <v>0.10000000000000003</v>
      </c>
      <c r="H44" s="112">
        <v>153.68731171200005</v>
      </c>
      <c r="I44" s="112">
        <f t="shared" si="13"/>
        <v>162.90855041472005</v>
      </c>
      <c r="J44" s="265">
        <f t="shared" si="13"/>
        <v>172.68306343960327</v>
      </c>
      <c r="K44" s="265">
        <f>(J44*$N$12)+J44</f>
        <v>183.04404724597947</v>
      </c>
      <c r="L44" s="265">
        <v>194.02669008073823</v>
      </c>
      <c r="M44" s="265">
        <f>(L44*N44)+L44</f>
        <v>205.66829148558253</v>
      </c>
      <c r="N44" s="111">
        <f>$N$12</f>
        <v>0.06</v>
      </c>
      <c r="P44" s="265">
        <f t="shared" si="2"/>
        <v>218.0083889747175</v>
      </c>
      <c r="Q44" s="265">
        <f t="shared" si="3"/>
        <v>231.08889231320055</v>
      </c>
    </row>
    <row r="45" spans="1:17" ht="13.5">
      <c r="A45" s="3" t="s">
        <v>610</v>
      </c>
      <c r="B45" s="7">
        <v>133.23</v>
      </c>
      <c r="C45" s="4"/>
      <c r="D45" s="44">
        <f>B45*1.1</f>
        <v>146.553</v>
      </c>
      <c r="E45" s="27">
        <f t="shared" si="12"/>
        <v>161.2083</v>
      </c>
      <c r="F45" s="27">
        <f t="shared" si="12"/>
        <v>177.32913000000002</v>
      </c>
      <c r="G45" s="4">
        <f>(F45-E45)/E45</f>
        <v>0.10000000000000007</v>
      </c>
      <c r="H45" s="112">
        <v>204.92154262800003</v>
      </c>
      <c r="I45" s="112">
        <f t="shared" si="13"/>
        <v>217.21683518568003</v>
      </c>
      <c r="J45" s="265">
        <f t="shared" si="13"/>
        <v>230.24984529682084</v>
      </c>
      <c r="K45" s="265">
        <f>(J45*$N$12)+J45</f>
        <v>244.0648360146301</v>
      </c>
      <c r="L45" s="265">
        <v>258.7087261755079</v>
      </c>
      <c r="M45" s="265">
        <f>(L45*N45)+L45</f>
        <v>274.2312497460384</v>
      </c>
      <c r="N45" s="111">
        <f>$N$12</f>
        <v>0.06</v>
      </c>
      <c r="P45" s="265">
        <f t="shared" si="2"/>
        <v>290.6851247308007</v>
      </c>
      <c r="Q45" s="265">
        <f t="shared" si="3"/>
        <v>308.1262322146487</v>
      </c>
    </row>
    <row r="46" spans="2:17" ht="13.5">
      <c r="B46" s="7"/>
      <c r="C46" s="4"/>
      <c r="D46" s="44"/>
      <c r="E46" s="44"/>
      <c r="F46" s="27"/>
      <c r="G46" s="4"/>
      <c r="H46" s="45"/>
      <c r="I46" s="112"/>
      <c r="J46" s="265"/>
      <c r="K46" s="265"/>
      <c r="L46" s="265"/>
      <c r="M46" s="265"/>
      <c r="N46" s="111"/>
      <c r="P46" s="265"/>
      <c r="Q46" s="265"/>
    </row>
    <row r="47" spans="1:17" ht="13.5">
      <c r="A47" s="3" t="s">
        <v>611</v>
      </c>
      <c r="B47" s="7">
        <v>66.62</v>
      </c>
      <c r="C47" s="4"/>
      <c r="D47" s="44">
        <f>B47*1.1</f>
        <v>73.28200000000001</v>
      </c>
      <c r="E47" s="27">
        <f aca="true" t="shared" si="14" ref="E47:F50">D47*1.1</f>
        <v>80.61020000000002</v>
      </c>
      <c r="F47" s="27">
        <f t="shared" si="14"/>
        <v>88.67122000000003</v>
      </c>
      <c r="G47" s="4">
        <f>(F47-E47)/E47</f>
        <v>0.10000000000000014</v>
      </c>
      <c r="H47" s="112">
        <v>102.46846183200006</v>
      </c>
      <c r="I47" s="112">
        <f aca="true" t="shared" si="15" ref="I47:J50">H47*1.06</f>
        <v>108.61656954192007</v>
      </c>
      <c r="J47" s="265">
        <f t="shared" si="15"/>
        <v>115.13356371443528</v>
      </c>
      <c r="K47" s="265">
        <f>(J47*$N$12)+J47</f>
        <v>122.04157753730141</v>
      </c>
      <c r="L47" s="265">
        <v>129.36407218953948</v>
      </c>
      <c r="M47" s="265">
        <f>(L47*N47)+L47</f>
        <v>137.12591652091186</v>
      </c>
      <c r="N47" s="111">
        <f>$N$12</f>
        <v>0.06</v>
      </c>
      <c r="P47" s="265">
        <f t="shared" si="2"/>
        <v>145.35347151216658</v>
      </c>
      <c r="Q47" s="265">
        <f t="shared" si="3"/>
        <v>154.07467980289658</v>
      </c>
    </row>
    <row r="48" spans="1:17" ht="13.5">
      <c r="A48" s="3" t="s">
        <v>612</v>
      </c>
      <c r="B48" s="7">
        <v>99.92</v>
      </c>
      <c r="C48" s="4"/>
      <c r="D48" s="44">
        <f>B48*1.1</f>
        <v>109.912</v>
      </c>
      <c r="E48" s="27">
        <f t="shared" si="14"/>
        <v>120.90320000000001</v>
      </c>
      <c r="F48" s="27">
        <f t="shared" si="14"/>
        <v>132.99352000000002</v>
      </c>
      <c r="G48" s="4">
        <f>(F48-E48)/E48</f>
        <v>0.10000000000000003</v>
      </c>
      <c r="H48" s="112">
        <v>153.68731171200005</v>
      </c>
      <c r="I48" s="112">
        <f t="shared" si="15"/>
        <v>162.90855041472005</v>
      </c>
      <c r="J48" s="265">
        <f t="shared" si="15"/>
        <v>172.68306343960327</v>
      </c>
      <c r="K48" s="265">
        <f>(J48*$N$12)+J48</f>
        <v>183.04404724597947</v>
      </c>
      <c r="L48" s="265">
        <v>194.02669008073823</v>
      </c>
      <c r="M48" s="265">
        <f>(L48*N48)+L48</f>
        <v>205.66829148558253</v>
      </c>
      <c r="N48" s="111">
        <f>$N$12</f>
        <v>0.06</v>
      </c>
      <c r="P48" s="265">
        <f t="shared" si="2"/>
        <v>218.0083889747175</v>
      </c>
      <c r="Q48" s="265">
        <f t="shared" si="3"/>
        <v>231.08889231320055</v>
      </c>
    </row>
    <row r="49" spans="1:17" ht="13.5">
      <c r="A49" s="3" t="s">
        <v>613</v>
      </c>
      <c r="B49" s="7">
        <v>99.92</v>
      </c>
      <c r="C49" s="4"/>
      <c r="D49" s="44">
        <f>B49*1.1</f>
        <v>109.912</v>
      </c>
      <c r="E49" s="27">
        <f t="shared" si="14"/>
        <v>120.90320000000001</v>
      </c>
      <c r="F49" s="27">
        <f t="shared" si="14"/>
        <v>132.99352000000002</v>
      </c>
      <c r="G49" s="4">
        <f>(F49-E49)/E49</f>
        <v>0.10000000000000003</v>
      </c>
      <c r="H49" s="112">
        <v>153.68731171200005</v>
      </c>
      <c r="I49" s="112">
        <f t="shared" si="15"/>
        <v>162.90855041472005</v>
      </c>
      <c r="J49" s="265">
        <f t="shared" si="15"/>
        <v>172.68306343960327</v>
      </c>
      <c r="K49" s="265">
        <f>(J49*$N$12)+J49</f>
        <v>183.04404724597947</v>
      </c>
      <c r="L49" s="265">
        <v>194.02669008073823</v>
      </c>
      <c r="M49" s="265">
        <f>(L49*N49)+L49</f>
        <v>205.66829148558253</v>
      </c>
      <c r="N49" s="111">
        <f>$N$12</f>
        <v>0.06</v>
      </c>
      <c r="P49" s="265">
        <f t="shared" si="2"/>
        <v>218.0083889747175</v>
      </c>
      <c r="Q49" s="265">
        <f t="shared" si="3"/>
        <v>231.08889231320055</v>
      </c>
    </row>
    <row r="50" spans="1:17" ht="13.5">
      <c r="A50" s="3" t="s">
        <v>614</v>
      </c>
      <c r="B50" s="7">
        <v>133.23</v>
      </c>
      <c r="C50" s="4"/>
      <c r="D50" s="44">
        <f>B50*1.1</f>
        <v>146.553</v>
      </c>
      <c r="E50" s="27">
        <f t="shared" si="14"/>
        <v>161.2083</v>
      </c>
      <c r="F50" s="27">
        <f t="shared" si="14"/>
        <v>177.32913000000002</v>
      </c>
      <c r="G50" s="4">
        <f>(F50-E50)/E50</f>
        <v>0.10000000000000007</v>
      </c>
      <c r="H50" s="112">
        <v>204.92154262800003</v>
      </c>
      <c r="I50" s="112">
        <f t="shared" si="15"/>
        <v>217.21683518568003</v>
      </c>
      <c r="J50" s="265">
        <f t="shared" si="15"/>
        <v>230.24984529682084</v>
      </c>
      <c r="K50" s="265">
        <f>(J50*$N$12)+J50</f>
        <v>244.0648360146301</v>
      </c>
      <c r="L50" s="265">
        <v>258.7087261755079</v>
      </c>
      <c r="M50" s="265">
        <f>(L50*N50)+L50</f>
        <v>274.2312497460384</v>
      </c>
      <c r="N50" s="111">
        <f>$N$12</f>
        <v>0.06</v>
      </c>
      <c r="P50" s="265">
        <f t="shared" si="2"/>
        <v>290.6851247308007</v>
      </c>
      <c r="Q50" s="265">
        <f t="shared" si="3"/>
        <v>308.1262322146487</v>
      </c>
    </row>
    <row r="51" spans="2:17" ht="13.5">
      <c r="B51" s="7"/>
      <c r="C51" s="4"/>
      <c r="D51" s="44"/>
      <c r="E51" s="44"/>
      <c r="F51" s="27"/>
      <c r="G51" s="4"/>
      <c r="H51" s="45"/>
      <c r="I51" s="112"/>
      <c r="J51" s="265"/>
      <c r="K51" s="265"/>
      <c r="L51" s="265"/>
      <c r="M51" s="265"/>
      <c r="N51" s="111"/>
      <c r="P51" s="265"/>
      <c r="Q51" s="265"/>
    </row>
    <row r="52" spans="1:17" ht="13.5">
      <c r="A52" s="3" t="s">
        <v>615</v>
      </c>
      <c r="B52" s="7">
        <v>41.57</v>
      </c>
      <c r="C52" s="4"/>
      <c r="D52" s="44">
        <f>B52*1.1</f>
        <v>45.727000000000004</v>
      </c>
      <c r="E52" s="27">
        <f aca="true" t="shared" si="16" ref="E52:F55">D52*1.1</f>
        <v>50.29970000000001</v>
      </c>
      <c r="F52" s="27">
        <f t="shared" si="16"/>
        <v>55.329670000000014</v>
      </c>
      <c r="G52" s="4">
        <f>(F52-E52)/E52</f>
        <v>0.1000000000000001</v>
      </c>
      <c r="H52" s="112">
        <v>63.938966652000026</v>
      </c>
      <c r="I52" s="112">
        <f aca="true" t="shared" si="17" ref="I52:J55">H52*1.06</f>
        <v>67.77530465112004</v>
      </c>
      <c r="J52" s="265">
        <f t="shared" si="17"/>
        <v>71.84182293018725</v>
      </c>
      <c r="K52" s="265">
        <f>(J52*$N$12)+J52</f>
        <v>76.15233230599848</v>
      </c>
      <c r="L52" s="265">
        <v>80.7214722443584</v>
      </c>
      <c r="M52" s="265">
        <f>(L52*N52)+L52</f>
        <v>85.5647605790199</v>
      </c>
      <c r="N52" s="111">
        <f>$N$12</f>
        <v>0.06</v>
      </c>
      <c r="P52" s="265">
        <f t="shared" si="2"/>
        <v>90.6986462137611</v>
      </c>
      <c r="Q52" s="265">
        <f t="shared" si="3"/>
        <v>96.14056498658675</v>
      </c>
    </row>
    <row r="53" spans="1:17" ht="13.5">
      <c r="A53" s="3" t="s">
        <v>616</v>
      </c>
      <c r="B53" s="7">
        <v>62.35</v>
      </c>
      <c r="C53" s="4"/>
      <c r="D53" s="44">
        <f>B53*1.1</f>
        <v>68.58500000000001</v>
      </c>
      <c r="E53" s="27">
        <f t="shared" si="16"/>
        <v>75.44350000000001</v>
      </c>
      <c r="F53" s="27">
        <f t="shared" si="16"/>
        <v>82.98785000000002</v>
      </c>
      <c r="G53" s="4">
        <f>(F53-E53)/E53</f>
        <v>0.10000000000000009</v>
      </c>
      <c r="H53" s="112">
        <v>95.90075946000005</v>
      </c>
      <c r="I53" s="112">
        <f t="shared" si="17"/>
        <v>101.65480502760005</v>
      </c>
      <c r="J53" s="265">
        <f t="shared" si="17"/>
        <v>107.75409332925605</v>
      </c>
      <c r="K53" s="265">
        <f>(J53*$N$12)+J53</f>
        <v>114.21933892901141</v>
      </c>
      <c r="L53" s="265">
        <v>121.0724992647521</v>
      </c>
      <c r="M53" s="265">
        <f>(L53*N53)+L53</f>
        <v>128.33684922063722</v>
      </c>
      <c r="N53" s="111">
        <f>$N$12</f>
        <v>0.06</v>
      </c>
      <c r="P53" s="265">
        <f t="shared" si="2"/>
        <v>136.03706017387546</v>
      </c>
      <c r="Q53" s="265">
        <f t="shared" si="3"/>
        <v>144.199283784308</v>
      </c>
    </row>
    <row r="54" spans="1:17" ht="13.5">
      <c r="A54" s="3" t="s">
        <v>617</v>
      </c>
      <c r="B54" s="7">
        <v>62.35</v>
      </c>
      <c r="C54" s="4"/>
      <c r="D54" s="44">
        <f>B54*1.1</f>
        <v>68.58500000000001</v>
      </c>
      <c r="E54" s="27">
        <f t="shared" si="16"/>
        <v>75.44350000000001</v>
      </c>
      <c r="F54" s="27">
        <f t="shared" si="16"/>
        <v>82.98785000000002</v>
      </c>
      <c r="G54" s="4">
        <f>(F54-E54)/E54</f>
        <v>0.10000000000000009</v>
      </c>
      <c r="H54" s="112">
        <v>95.90075946000005</v>
      </c>
      <c r="I54" s="112">
        <f t="shared" si="17"/>
        <v>101.65480502760005</v>
      </c>
      <c r="J54" s="265">
        <f t="shared" si="17"/>
        <v>107.75409332925605</v>
      </c>
      <c r="K54" s="265">
        <f>(J54*$N$12)+J54</f>
        <v>114.21933892901141</v>
      </c>
      <c r="L54" s="265">
        <v>121.0724992647521</v>
      </c>
      <c r="M54" s="265">
        <f>(L54*N54)+L54</f>
        <v>128.33684922063722</v>
      </c>
      <c r="N54" s="111">
        <f>$N$12</f>
        <v>0.06</v>
      </c>
      <c r="P54" s="265">
        <f t="shared" si="2"/>
        <v>136.03706017387546</v>
      </c>
      <c r="Q54" s="265">
        <f t="shared" si="3"/>
        <v>144.199283784308</v>
      </c>
    </row>
    <row r="55" spans="1:17" ht="13.5">
      <c r="A55" s="3" t="s">
        <v>618</v>
      </c>
      <c r="B55" s="7">
        <v>83.13</v>
      </c>
      <c r="C55" s="4"/>
      <c r="D55" s="44">
        <f>B55*1.1</f>
        <v>91.443</v>
      </c>
      <c r="E55" s="27">
        <f t="shared" si="16"/>
        <v>100.5873</v>
      </c>
      <c r="F55" s="27">
        <f t="shared" si="16"/>
        <v>110.64603000000001</v>
      </c>
      <c r="G55" s="4">
        <f>(F55-E55)/E55</f>
        <v>0.10000000000000012</v>
      </c>
      <c r="H55" s="112">
        <v>127.86255226800003</v>
      </c>
      <c r="I55" s="112">
        <f t="shared" si="17"/>
        <v>135.53430540408004</v>
      </c>
      <c r="J55" s="265">
        <f t="shared" si="17"/>
        <v>143.66636372832485</v>
      </c>
      <c r="K55" s="265">
        <f>(J55*$N$12)+J55</f>
        <v>152.28634555202433</v>
      </c>
      <c r="L55" s="265">
        <v>161.42352628514578</v>
      </c>
      <c r="M55" s="265">
        <f>(L55*N55)+L55</f>
        <v>171.10893786225452</v>
      </c>
      <c r="N55" s="111">
        <f>$N$12</f>
        <v>0.06</v>
      </c>
      <c r="P55" s="265">
        <f t="shared" si="2"/>
        <v>181.3754741339898</v>
      </c>
      <c r="Q55" s="265">
        <f t="shared" si="3"/>
        <v>192.25800258202918</v>
      </c>
    </row>
    <row r="56" spans="2:17" ht="13.5">
      <c r="B56" s="7"/>
      <c r="C56" s="4"/>
      <c r="D56" s="44"/>
      <c r="E56" s="44"/>
      <c r="F56" s="27"/>
      <c r="G56" s="4"/>
      <c r="H56" s="45"/>
      <c r="I56" s="112"/>
      <c r="J56" s="265"/>
      <c r="K56" s="265"/>
      <c r="L56" s="265"/>
      <c r="M56" s="265"/>
      <c r="N56" s="111"/>
      <c r="P56" s="265"/>
      <c r="Q56" s="265"/>
    </row>
    <row r="57" spans="1:17" ht="13.5">
      <c r="A57" s="3" t="s">
        <v>619</v>
      </c>
      <c r="B57" s="7">
        <v>41.57</v>
      </c>
      <c r="C57" s="4"/>
      <c r="D57" s="44">
        <f>B57*1.1</f>
        <v>45.727000000000004</v>
      </c>
      <c r="E57" s="27">
        <f aca="true" t="shared" si="18" ref="E57:F60">D57*1.1</f>
        <v>50.29970000000001</v>
      </c>
      <c r="F57" s="27">
        <f t="shared" si="18"/>
        <v>55.329670000000014</v>
      </c>
      <c r="G57" s="4">
        <f>(F57-E57)/E57</f>
        <v>0.1000000000000001</v>
      </c>
      <c r="H57" s="112">
        <v>63.938966652000026</v>
      </c>
      <c r="I57" s="112">
        <f aca="true" t="shared" si="19" ref="I57:J60">H57*1.06</f>
        <v>67.77530465112004</v>
      </c>
      <c r="J57" s="265">
        <f t="shared" si="19"/>
        <v>71.84182293018725</v>
      </c>
      <c r="K57" s="265">
        <f>(J57*$N$12)+J57</f>
        <v>76.15233230599848</v>
      </c>
      <c r="L57" s="265">
        <v>80.7214722443584</v>
      </c>
      <c r="M57" s="265">
        <f>(L57*N57)+L57</f>
        <v>85.5647605790199</v>
      </c>
      <c r="N57" s="111">
        <f>$N$12</f>
        <v>0.06</v>
      </c>
      <c r="P57" s="265">
        <f t="shared" si="2"/>
        <v>90.6986462137611</v>
      </c>
      <c r="Q57" s="265">
        <f t="shared" si="3"/>
        <v>96.14056498658675</v>
      </c>
    </row>
    <row r="58" spans="1:17" ht="13.5">
      <c r="A58" s="3" t="s">
        <v>620</v>
      </c>
      <c r="B58" s="7">
        <v>62.35</v>
      </c>
      <c r="C58" s="4"/>
      <c r="D58" s="44">
        <f>B58*1.1</f>
        <v>68.58500000000001</v>
      </c>
      <c r="E58" s="27">
        <f t="shared" si="18"/>
        <v>75.44350000000001</v>
      </c>
      <c r="F58" s="27">
        <f t="shared" si="18"/>
        <v>82.98785000000002</v>
      </c>
      <c r="G58" s="4">
        <f>(F58-E58)/E58</f>
        <v>0.10000000000000009</v>
      </c>
      <c r="H58" s="112">
        <v>95.90075946000005</v>
      </c>
      <c r="I58" s="112">
        <f t="shared" si="19"/>
        <v>101.65480502760005</v>
      </c>
      <c r="J58" s="265">
        <f t="shared" si="19"/>
        <v>107.75409332925605</v>
      </c>
      <c r="K58" s="265">
        <f>(J58*$N$12)+J58</f>
        <v>114.21933892901141</v>
      </c>
      <c r="L58" s="265">
        <v>121.0724992647521</v>
      </c>
      <c r="M58" s="265">
        <f>(L58*N58)+L58</f>
        <v>128.33684922063722</v>
      </c>
      <c r="N58" s="111">
        <f>$N$12</f>
        <v>0.06</v>
      </c>
      <c r="P58" s="265">
        <f t="shared" si="2"/>
        <v>136.03706017387546</v>
      </c>
      <c r="Q58" s="265">
        <f t="shared" si="3"/>
        <v>144.199283784308</v>
      </c>
    </row>
    <row r="59" spans="1:17" ht="13.5">
      <c r="A59" s="3" t="s">
        <v>621</v>
      </c>
      <c r="B59" s="7">
        <v>62.35</v>
      </c>
      <c r="C59" s="4"/>
      <c r="D59" s="44">
        <f>B59*1.1</f>
        <v>68.58500000000001</v>
      </c>
      <c r="E59" s="27">
        <f t="shared" si="18"/>
        <v>75.44350000000001</v>
      </c>
      <c r="F59" s="27">
        <f t="shared" si="18"/>
        <v>82.98785000000002</v>
      </c>
      <c r="G59" s="4">
        <f>(F59-E59)/E59</f>
        <v>0.10000000000000009</v>
      </c>
      <c r="H59" s="112">
        <v>95.90075946000005</v>
      </c>
      <c r="I59" s="112">
        <f t="shared" si="19"/>
        <v>101.65480502760005</v>
      </c>
      <c r="J59" s="265">
        <f t="shared" si="19"/>
        <v>107.75409332925605</v>
      </c>
      <c r="K59" s="265">
        <f>(J59*$N$12)+J59</f>
        <v>114.21933892901141</v>
      </c>
      <c r="L59" s="265">
        <v>121.0724992647521</v>
      </c>
      <c r="M59" s="265">
        <f>(L59*N59)+L59</f>
        <v>128.33684922063722</v>
      </c>
      <c r="N59" s="111">
        <f>$N$12</f>
        <v>0.06</v>
      </c>
      <c r="P59" s="265">
        <f t="shared" si="2"/>
        <v>136.03706017387546</v>
      </c>
      <c r="Q59" s="265">
        <f t="shared" si="3"/>
        <v>144.199283784308</v>
      </c>
    </row>
    <row r="60" spans="1:17" ht="13.5">
      <c r="A60" s="3" t="s">
        <v>622</v>
      </c>
      <c r="B60" s="7">
        <v>83.13</v>
      </c>
      <c r="C60" s="4"/>
      <c r="D60" s="44">
        <f>B60*1.1</f>
        <v>91.443</v>
      </c>
      <c r="E60" s="27">
        <f t="shared" si="18"/>
        <v>100.5873</v>
      </c>
      <c r="F60" s="27">
        <f t="shared" si="18"/>
        <v>110.64603000000001</v>
      </c>
      <c r="G60" s="4">
        <f>(F60-E60)/E60</f>
        <v>0.10000000000000012</v>
      </c>
      <c r="H60" s="112">
        <v>127.86255226800003</v>
      </c>
      <c r="I60" s="112">
        <f t="shared" si="19"/>
        <v>135.53430540408004</v>
      </c>
      <c r="J60" s="265">
        <f t="shared" si="19"/>
        <v>143.66636372832485</v>
      </c>
      <c r="K60" s="265">
        <f>(J60*$N$12)+J60</f>
        <v>152.28634555202433</v>
      </c>
      <c r="L60" s="265">
        <v>161.42352628514578</v>
      </c>
      <c r="M60" s="265">
        <f>(L60*N60)+L60</f>
        <v>171.10893786225452</v>
      </c>
      <c r="N60" s="111">
        <f>$N$12</f>
        <v>0.06</v>
      </c>
      <c r="P60" s="265">
        <f t="shared" si="2"/>
        <v>181.3754741339898</v>
      </c>
      <c r="Q60" s="265">
        <f t="shared" si="3"/>
        <v>192.25800258202918</v>
      </c>
    </row>
    <row r="61" spans="3:17" ht="13.5">
      <c r="C61" s="4"/>
      <c r="D61" s="44"/>
      <c r="E61" s="44"/>
      <c r="F61" s="27"/>
      <c r="G61" s="4"/>
      <c r="H61" s="45"/>
      <c r="I61" s="112"/>
      <c r="J61" s="265"/>
      <c r="K61" s="265"/>
      <c r="L61" s="265"/>
      <c r="M61" s="265"/>
      <c r="N61" s="111"/>
      <c r="P61" s="265"/>
      <c r="Q61" s="265"/>
    </row>
    <row r="62" spans="1:17" s="2" customFormat="1" ht="13.5">
      <c r="A62" s="2" t="s">
        <v>623</v>
      </c>
      <c r="C62" s="9"/>
      <c r="D62" s="44"/>
      <c r="E62" s="44"/>
      <c r="F62" s="27"/>
      <c r="G62" s="4"/>
      <c r="H62" s="45"/>
      <c r="I62" s="112"/>
      <c r="J62" s="265"/>
      <c r="K62" s="265"/>
      <c r="L62" s="265"/>
      <c r="M62" s="265"/>
      <c r="N62" s="111"/>
      <c r="P62" s="265"/>
      <c r="Q62" s="265"/>
    </row>
    <row r="63" spans="1:17" ht="13.5">
      <c r="A63" s="3" t="s">
        <v>624</v>
      </c>
      <c r="B63" s="7">
        <v>122.66</v>
      </c>
      <c r="C63" s="4"/>
      <c r="D63" s="44">
        <f aca="true" t="shared" si="20" ref="D63:D70">B63*1.1</f>
        <v>134.92600000000002</v>
      </c>
      <c r="E63" s="27">
        <f aca="true" t="shared" si="21" ref="E63:F70">D63*1.1</f>
        <v>148.41860000000003</v>
      </c>
      <c r="F63" s="27">
        <f t="shared" si="21"/>
        <v>163.26046000000005</v>
      </c>
      <c r="G63" s="4">
        <f aca="true" t="shared" si="22" ref="G63:G70">(F63-E63)/E63</f>
        <v>0.10000000000000016</v>
      </c>
      <c r="H63" s="112">
        <v>188.66378757600006</v>
      </c>
      <c r="I63" s="112">
        <f aca="true" t="shared" si="23" ref="I63:J70">H63*1.06</f>
        <v>199.98361483056007</v>
      </c>
      <c r="J63" s="265">
        <f t="shared" si="23"/>
        <v>211.9826317203937</v>
      </c>
      <c r="K63" s="265">
        <f aca="true" t="shared" si="24" ref="K63:K70">(J63*$N$12)+J63</f>
        <v>224.7015896236173</v>
      </c>
      <c r="L63" s="265">
        <v>238.18368500103435</v>
      </c>
      <c r="M63" s="265">
        <f aca="true" t="shared" si="25" ref="M63:M70">(L63*N63)+L63</f>
        <v>252.47470610109642</v>
      </c>
      <c r="N63" s="111">
        <f aca="true" t="shared" si="26" ref="N63:N70">$N$12</f>
        <v>0.06</v>
      </c>
      <c r="P63" s="265">
        <f t="shared" si="2"/>
        <v>267.6231884671622</v>
      </c>
      <c r="Q63" s="265">
        <f t="shared" si="3"/>
        <v>283.6805797751919</v>
      </c>
    </row>
    <row r="64" spans="1:17" ht="13.5">
      <c r="A64" s="3" t="s">
        <v>625</v>
      </c>
      <c r="B64" s="7">
        <v>95.75</v>
      </c>
      <c r="C64" s="4"/>
      <c r="D64" s="44">
        <f t="shared" si="20"/>
        <v>105.325</v>
      </c>
      <c r="E64" s="27">
        <f t="shared" si="21"/>
        <v>115.85750000000002</v>
      </c>
      <c r="F64" s="27">
        <f t="shared" si="21"/>
        <v>127.44325000000003</v>
      </c>
      <c r="G64" s="4">
        <f t="shared" si="22"/>
        <v>0.10000000000000014</v>
      </c>
      <c r="H64" s="112">
        <v>147.27341970000006</v>
      </c>
      <c r="I64" s="112">
        <f t="shared" si="23"/>
        <v>156.10982488200008</v>
      </c>
      <c r="J64" s="265">
        <f t="shared" si="23"/>
        <v>165.4764143749201</v>
      </c>
      <c r="K64" s="265">
        <f t="shared" si="24"/>
        <v>175.4049992374153</v>
      </c>
      <c r="L64" s="265">
        <v>185.92929919166022</v>
      </c>
      <c r="M64" s="265">
        <f t="shared" si="25"/>
        <v>197.08505714315984</v>
      </c>
      <c r="N64" s="111">
        <f t="shared" si="26"/>
        <v>0.06</v>
      </c>
      <c r="P64" s="265">
        <f t="shared" si="2"/>
        <v>208.91016057174943</v>
      </c>
      <c r="Q64" s="265">
        <f t="shared" si="3"/>
        <v>221.4447702060544</v>
      </c>
    </row>
    <row r="65" spans="1:17" ht="13.5">
      <c r="A65" s="3" t="s">
        <v>626</v>
      </c>
      <c r="B65" s="7">
        <v>75.44</v>
      </c>
      <c r="C65" s="4"/>
      <c r="D65" s="44">
        <f t="shared" si="20"/>
        <v>82.98400000000001</v>
      </c>
      <c r="E65" s="27">
        <f t="shared" si="21"/>
        <v>91.28240000000002</v>
      </c>
      <c r="F65" s="27">
        <f t="shared" si="21"/>
        <v>100.41064000000003</v>
      </c>
      <c r="G65" s="4">
        <f t="shared" si="22"/>
        <v>0.10000000000000003</v>
      </c>
      <c r="H65" s="112">
        <v>116.03453558400005</v>
      </c>
      <c r="I65" s="112">
        <f t="shared" si="23"/>
        <v>122.99660771904006</v>
      </c>
      <c r="J65" s="265">
        <f t="shared" si="23"/>
        <v>130.37640418218245</v>
      </c>
      <c r="K65" s="265">
        <f t="shared" si="24"/>
        <v>138.1989884331134</v>
      </c>
      <c r="L65" s="265">
        <v>146.49092773910021</v>
      </c>
      <c r="M65" s="265">
        <f t="shared" si="25"/>
        <v>155.28038340344622</v>
      </c>
      <c r="N65" s="111">
        <f t="shared" si="26"/>
        <v>0.06</v>
      </c>
      <c r="P65" s="265">
        <f t="shared" si="2"/>
        <v>164.597206407653</v>
      </c>
      <c r="Q65" s="265">
        <f t="shared" si="3"/>
        <v>174.4730387921122</v>
      </c>
    </row>
    <row r="66" spans="1:17" ht="13.5">
      <c r="A66" s="3" t="s">
        <v>627</v>
      </c>
      <c r="B66" s="7">
        <v>66.62</v>
      </c>
      <c r="C66" s="4"/>
      <c r="D66" s="44">
        <f t="shared" si="20"/>
        <v>73.28200000000001</v>
      </c>
      <c r="E66" s="27">
        <f t="shared" si="21"/>
        <v>80.61020000000002</v>
      </c>
      <c r="F66" s="27">
        <f t="shared" si="21"/>
        <v>88.67122000000003</v>
      </c>
      <c r="G66" s="4">
        <f t="shared" si="22"/>
        <v>0.10000000000000014</v>
      </c>
      <c r="H66" s="112">
        <v>102.46846183200006</v>
      </c>
      <c r="I66" s="112">
        <f t="shared" si="23"/>
        <v>108.61656954192007</v>
      </c>
      <c r="J66" s="265">
        <f t="shared" si="23"/>
        <v>115.13356371443528</v>
      </c>
      <c r="K66" s="265">
        <f t="shared" si="24"/>
        <v>122.04157753730141</v>
      </c>
      <c r="L66" s="265">
        <v>129.36407218953948</v>
      </c>
      <c r="M66" s="265">
        <f t="shared" si="25"/>
        <v>137.12591652091186</v>
      </c>
      <c r="N66" s="111">
        <f t="shared" si="26"/>
        <v>0.06</v>
      </c>
      <c r="P66" s="265">
        <f t="shared" si="2"/>
        <v>145.35347151216658</v>
      </c>
      <c r="Q66" s="265">
        <f t="shared" si="3"/>
        <v>154.07467980289658</v>
      </c>
    </row>
    <row r="67" spans="1:17" ht="13.5">
      <c r="A67" s="3" t="s">
        <v>628</v>
      </c>
      <c r="B67" s="7">
        <v>66.62</v>
      </c>
      <c r="C67" s="4"/>
      <c r="D67" s="44">
        <f t="shared" si="20"/>
        <v>73.28200000000001</v>
      </c>
      <c r="E67" s="27">
        <f t="shared" si="21"/>
        <v>80.61020000000002</v>
      </c>
      <c r="F67" s="27">
        <f t="shared" si="21"/>
        <v>88.67122000000003</v>
      </c>
      <c r="G67" s="4">
        <f t="shared" si="22"/>
        <v>0.10000000000000014</v>
      </c>
      <c r="H67" s="112">
        <v>102.46846183200006</v>
      </c>
      <c r="I67" s="112">
        <f t="shared" si="23"/>
        <v>108.61656954192007</v>
      </c>
      <c r="J67" s="265">
        <f t="shared" si="23"/>
        <v>115.13356371443528</v>
      </c>
      <c r="K67" s="265">
        <f t="shared" si="24"/>
        <v>122.04157753730141</v>
      </c>
      <c r="L67" s="265">
        <v>129.36407218953948</v>
      </c>
      <c r="M67" s="265">
        <f t="shared" si="25"/>
        <v>137.12591652091186</v>
      </c>
      <c r="N67" s="111">
        <f t="shared" si="26"/>
        <v>0.06</v>
      </c>
      <c r="P67" s="265">
        <f t="shared" si="2"/>
        <v>145.35347151216658</v>
      </c>
      <c r="Q67" s="265">
        <f t="shared" si="3"/>
        <v>154.07467980289658</v>
      </c>
    </row>
    <row r="68" spans="1:17" ht="13.5">
      <c r="A68" s="3" t="s">
        <v>629</v>
      </c>
      <c r="B68" s="7">
        <v>66.62</v>
      </c>
      <c r="C68" s="4"/>
      <c r="D68" s="44">
        <f t="shared" si="20"/>
        <v>73.28200000000001</v>
      </c>
      <c r="E68" s="27">
        <f t="shared" si="21"/>
        <v>80.61020000000002</v>
      </c>
      <c r="F68" s="27">
        <f t="shared" si="21"/>
        <v>88.67122000000003</v>
      </c>
      <c r="G68" s="4">
        <f t="shared" si="22"/>
        <v>0.10000000000000014</v>
      </c>
      <c r="H68" s="112">
        <v>102.46846183200006</v>
      </c>
      <c r="I68" s="112">
        <f t="shared" si="23"/>
        <v>108.61656954192007</v>
      </c>
      <c r="J68" s="265">
        <f t="shared" si="23"/>
        <v>115.13356371443528</v>
      </c>
      <c r="K68" s="265">
        <f t="shared" si="24"/>
        <v>122.04157753730141</v>
      </c>
      <c r="L68" s="265">
        <v>129.36407218953948</v>
      </c>
      <c r="M68" s="265">
        <f t="shared" si="25"/>
        <v>137.12591652091186</v>
      </c>
      <c r="N68" s="111">
        <f t="shared" si="26"/>
        <v>0.06</v>
      </c>
      <c r="P68" s="265">
        <f t="shared" si="2"/>
        <v>145.35347151216658</v>
      </c>
      <c r="Q68" s="265">
        <f t="shared" si="3"/>
        <v>154.07467980289658</v>
      </c>
    </row>
    <row r="69" spans="1:17" ht="13.5">
      <c r="A69" s="3" t="s">
        <v>630</v>
      </c>
      <c r="B69" s="7">
        <v>54.77</v>
      </c>
      <c r="C69" s="4"/>
      <c r="D69" s="44">
        <f t="shared" si="20"/>
        <v>60.24700000000001</v>
      </c>
      <c r="E69" s="27">
        <f t="shared" si="21"/>
        <v>66.27170000000001</v>
      </c>
      <c r="F69" s="27">
        <f t="shared" si="21"/>
        <v>72.89887000000002</v>
      </c>
      <c r="G69" s="4">
        <f t="shared" si="22"/>
        <v>0.10000000000000009</v>
      </c>
      <c r="H69" s="112">
        <v>84.24193417200003</v>
      </c>
      <c r="I69" s="112">
        <f t="shared" si="23"/>
        <v>89.29645022232003</v>
      </c>
      <c r="J69" s="265">
        <f t="shared" si="23"/>
        <v>94.65423723565924</v>
      </c>
      <c r="K69" s="265">
        <f t="shared" si="24"/>
        <v>100.33349146979879</v>
      </c>
      <c r="L69" s="265">
        <v>106.35350095798671</v>
      </c>
      <c r="M69" s="265">
        <f t="shared" si="25"/>
        <v>112.73471101546592</v>
      </c>
      <c r="N69" s="111">
        <f t="shared" si="26"/>
        <v>0.06</v>
      </c>
      <c r="P69" s="265">
        <f t="shared" si="2"/>
        <v>119.49879367639387</v>
      </c>
      <c r="Q69" s="265">
        <f t="shared" si="3"/>
        <v>126.66872129697751</v>
      </c>
    </row>
    <row r="70" spans="1:17" ht="13.5">
      <c r="A70" s="3" t="s">
        <v>631</v>
      </c>
      <c r="B70" s="7">
        <v>41.57</v>
      </c>
      <c r="C70" s="4"/>
      <c r="D70" s="44">
        <f t="shared" si="20"/>
        <v>45.727000000000004</v>
      </c>
      <c r="E70" s="27">
        <f t="shared" si="21"/>
        <v>50.29970000000001</v>
      </c>
      <c r="F70" s="27">
        <f t="shared" si="21"/>
        <v>55.329670000000014</v>
      </c>
      <c r="G70" s="4">
        <f t="shared" si="22"/>
        <v>0.1000000000000001</v>
      </c>
      <c r="H70" s="112">
        <v>63.938966652000026</v>
      </c>
      <c r="I70" s="112">
        <f t="shared" si="23"/>
        <v>67.77530465112004</v>
      </c>
      <c r="J70" s="265">
        <f t="shared" si="23"/>
        <v>71.84182293018725</v>
      </c>
      <c r="K70" s="265">
        <f t="shared" si="24"/>
        <v>76.15233230599848</v>
      </c>
      <c r="L70" s="265">
        <v>80.7214722443584</v>
      </c>
      <c r="M70" s="265">
        <f t="shared" si="25"/>
        <v>85.5647605790199</v>
      </c>
      <c r="N70" s="111">
        <f t="shared" si="26"/>
        <v>0.06</v>
      </c>
      <c r="P70" s="265">
        <f t="shared" si="2"/>
        <v>90.6986462137611</v>
      </c>
      <c r="Q70" s="265">
        <f t="shared" si="3"/>
        <v>96.14056498658675</v>
      </c>
    </row>
    <row r="71" spans="3:17" ht="13.5">
      <c r="C71" s="4"/>
      <c r="D71" s="44"/>
      <c r="E71" s="44"/>
      <c r="F71" s="27"/>
      <c r="G71" s="4"/>
      <c r="H71" s="45"/>
      <c r="I71" s="112"/>
      <c r="J71" s="265"/>
      <c r="K71" s="265"/>
      <c r="L71" s="265"/>
      <c r="M71" s="265"/>
      <c r="N71" s="111"/>
      <c r="P71" s="265"/>
      <c r="Q71" s="265"/>
    </row>
    <row r="72" spans="1:17" s="2" customFormat="1" ht="13.5">
      <c r="A72" s="2" t="s">
        <v>632</v>
      </c>
      <c r="C72" s="9"/>
      <c r="D72" s="44"/>
      <c r="E72" s="44"/>
      <c r="F72" s="27"/>
      <c r="G72" s="4"/>
      <c r="H72" s="45"/>
      <c r="I72" s="112"/>
      <c r="J72" s="265"/>
      <c r="K72" s="265"/>
      <c r="L72" s="265"/>
      <c r="M72" s="265"/>
      <c r="N72" s="111"/>
      <c r="P72" s="265"/>
      <c r="Q72" s="265"/>
    </row>
    <row r="73" spans="1:17" ht="13.5">
      <c r="A73" s="3" t="s">
        <v>633</v>
      </c>
      <c r="B73" s="3">
        <v>2.92</v>
      </c>
      <c r="C73" s="4"/>
      <c r="D73" s="44">
        <f>B73*1.1</f>
        <v>3.212</v>
      </c>
      <c r="E73" s="27">
        <f aca="true" t="shared" si="27" ref="E73:F75">D73*1.1</f>
        <v>3.5332000000000003</v>
      </c>
      <c r="F73" s="27">
        <f t="shared" si="27"/>
        <v>3.886520000000001</v>
      </c>
      <c r="G73" s="4">
        <f>(F73-E73)/E73</f>
        <v>0.10000000000000014</v>
      </c>
      <c r="H73" s="112">
        <v>4.491262512000001</v>
      </c>
      <c r="I73" s="112">
        <f aca="true" t="shared" si="28" ref="I73:J75">H73*1.06</f>
        <v>4.760738262720002</v>
      </c>
      <c r="J73" s="265">
        <f t="shared" si="28"/>
        <v>5.046382558483202</v>
      </c>
      <c r="K73" s="265">
        <f>(J73*$N$12)+J73</f>
        <v>5.349165511992195</v>
      </c>
      <c r="L73" s="265">
        <v>5.670115442711726</v>
      </c>
      <c r="M73" s="265">
        <f>(L73*N73)+L73</f>
        <v>6.010322369274429</v>
      </c>
      <c r="N73" s="111">
        <f>$N$12</f>
        <v>0.06</v>
      </c>
      <c r="P73" s="265">
        <f t="shared" si="2"/>
        <v>6.370941711430895</v>
      </c>
      <c r="Q73" s="265">
        <f t="shared" si="3"/>
        <v>6.753198214116749</v>
      </c>
    </row>
    <row r="74" spans="1:17" ht="13.5">
      <c r="A74" s="3" t="s">
        <v>634</v>
      </c>
      <c r="B74" s="3">
        <v>1.71</v>
      </c>
      <c r="C74" s="4"/>
      <c r="D74" s="44">
        <f>B74*1.1</f>
        <v>1.881</v>
      </c>
      <c r="E74" s="27">
        <f t="shared" si="27"/>
        <v>2.0691</v>
      </c>
      <c r="F74" s="27">
        <f t="shared" si="27"/>
        <v>2.2760100000000003</v>
      </c>
      <c r="G74" s="4">
        <f>(F74-E74)/E74</f>
        <v>0.10000000000000006</v>
      </c>
      <c r="H74" s="112">
        <v>2.6301571560000006</v>
      </c>
      <c r="I74" s="112">
        <f t="shared" si="28"/>
        <v>2.787966585360001</v>
      </c>
      <c r="J74" s="265">
        <f t="shared" si="28"/>
        <v>2.955244580481601</v>
      </c>
      <c r="K74" s="265">
        <f>(J74*$N$12)+J74</f>
        <v>3.132559255310497</v>
      </c>
      <c r="L74" s="265">
        <v>3.320512810629127</v>
      </c>
      <c r="M74" s="265">
        <f>(L74*N74)+L74</f>
        <v>3.5197435792668745</v>
      </c>
      <c r="N74" s="111">
        <f>$N$12</f>
        <v>0.06</v>
      </c>
      <c r="P74" s="265">
        <f t="shared" si="2"/>
        <v>3.730928194022887</v>
      </c>
      <c r="Q74" s="265">
        <f t="shared" si="3"/>
        <v>3.9547838856642605</v>
      </c>
    </row>
    <row r="75" spans="1:17" ht="13.5">
      <c r="A75" s="3" t="s">
        <v>635</v>
      </c>
      <c r="B75" s="3">
        <v>6.94</v>
      </c>
      <c r="C75" s="4"/>
      <c r="D75" s="44">
        <f>B75*1.1</f>
        <v>7.634000000000001</v>
      </c>
      <c r="E75" s="27">
        <f t="shared" si="27"/>
        <v>8.397400000000003</v>
      </c>
      <c r="F75" s="27">
        <f t="shared" si="27"/>
        <v>9.237140000000004</v>
      </c>
      <c r="G75" s="4">
        <f>(F75-E75)/E75</f>
        <v>0.10000000000000006</v>
      </c>
      <c r="H75" s="112">
        <v>10.674438984000007</v>
      </c>
      <c r="I75" s="112">
        <f t="shared" si="28"/>
        <v>11.314905323040009</v>
      </c>
      <c r="J75" s="265">
        <f t="shared" si="28"/>
        <v>11.99379964242241</v>
      </c>
      <c r="K75" s="265">
        <f>(J75*$N$12)+J75</f>
        <v>12.713427620967755</v>
      </c>
      <c r="L75" s="265">
        <v>13.47623327822582</v>
      </c>
      <c r="M75" s="265">
        <f>(L75*N75)+L75</f>
        <v>14.28480727491937</v>
      </c>
      <c r="N75" s="111">
        <f>$N$12</f>
        <v>0.06</v>
      </c>
      <c r="P75" s="265">
        <f t="shared" si="2"/>
        <v>15.141895711414532</v>
      </c>
      <c r="Q75" s="265">
        <f t="shared" si="3"/>
        <v>16.050409454099405</v>
      </c>
    </row>
    <row r="76" spans="3:17" ht="13.5">
      <c r="C76" s="4"/>
      <c r="D76" s="44"/>
      <c r="E76" s="44"/>
      <c r="F76" s="27"/>
      <c r="G76" s="4"/>
      <c r="H76" s="45"/>
      <c r="I76" s="112"/>
      <c r="J76" s="265"/>
      <c r="K76" s="265"/>
      <c r="L76" s="265"/>
      <c r="M76" s="265"/>
      <c r="N76" s="111"/>
      <c r="P76" s="265"/>
      <c r="Q76" s="265"/>
    </row>
    <row r="77" spans="1:17" s="2" customFormat="1" ht="13.5">
      <c r="A77" s="2" t="s">
        <v>636</v>
      </c>
      <c r="C77" s="9"/>
      <c r="D77" s="44"/>
      <c r="E77" s="44"/>
      <c r="F77" s="27"/>
      <c r="G77" s="4"/>
      <c r="H77" s="45"/>
      <c r="I77" s="112"/>
      <c r="J77" s="265"/>
      <c r="K77" s="265"/>
      <c r="L77" s="265"/>
      <c r="M77" s="265"/>
      <c r="N77" s="111"/>
      <c r="P77" s="265"/>
      <c r="Q77" s="265"/>
    </row>
    <row r="78" spans="1:17" ht="13.5">
      <c r="A78" s="3" t="s">
        <v>637</v>
      </c>
      <c r="B78" s="3">
        <v>200</v>
      </c>
      <c r="C78" s="4"/>
      <c r="D78" s="44">
        <f>B78*1.1</f>
        <v>220.00000000000003</v>
      </c>
      <c r="E78" s="27">
        <f>D78*1.1</f>
        <v>242.00000000000006</v>
      </c>
      <c r="F78" s="27">
        <f>E78*1.1</f>
        <v>266.2000000000001</v>
      </c>
      <c r="G78" s="4">
        <f>(F78-E78)/E78</f>
        <v>0.10000000000000016</v>
      </c>
      <c r="H78" s="112">
        <v>307.6207200000002</v>
      </c>
      <c r="I78" s="112">
        <f>H78*1.06</f>
        <v>326.0779632000002</v>
      </c>
      <c r="J78" s="265">
        <f>I78*1.06</f>
        <v>345.6426409920003</v>
      </c>
      <c r="K78" s="265">
        <f>(J78*$N$12)+J78</f>
        <v>366.3811994515203</v>
      </c>
      <c r="L78" s="265">
        <v>388.3640714186115</v>
      </c>
      <c r="M78" s="265">
        <f>(L78*N78)+L78</f>
        <v>411.6659157037282</v>
      </c>
      <c r="N78" s="111">
        <f>$N$12</f>
        <v>0.06</v>
      </c>
      <c r="P78" s="265">
        <f t="shared" si="2"/>
        <v>436.36587064595193</v>
      </c>
      <c r="Q78" s="265">
        <f t="shared" si="3"/>
        <v>462.54782288470903</v>
      </c>
    </row>
    <row r="79" spans="1:17" ht="13.5">
      <c r="A79" s="3" t="s">
        <v>638</v>
      </c>
      <c r="B79" s="3">
        <v>100</v>
      </c>
      <c r="C79" s="4"/>
      <c r="D79" s="44">
        <f>B79*1.1</f>
        <v>110.00000000000001</v>
      </c>
      <c r="E79" s="27">
        <f>D79*1.1</f>
        <v>121.00000000000003</v>
      </c>
      <c r="F79" s="27">
        <f>E79*1.1</f>
        <v>133.10000000000005</v>
      </c>
      <c r="G79" s="4">
        <f>(F79-E79)/E79</f>
        <v>0.10000000000000016</v>
      </c>
      <c r="H79" s="112">
        <v>153.8103600000001</v>
      </c>
      <c r="I79" s="112">
        <f>H79*1.06</f>
        <v>163.0389816000001</v>
      </c>
      <c r="J79" s="265">
        <f>I79*1.06</f>
        <v>172.82132049600014</v>
      </c>
      <c r="K79" s="265">
        <f>(J79*$N$12)+J79</f>
        <v>183.19059972576014</v>
      </c>
      <c r="L79" s="265">
        <v>194.18203570930575</v>
      </c>
      <c r="M79" s="265">
        <f>(L79*N79)+L79</f>
        <v>205.8329578518641</v>
      </c>
      <c r="N79" s="111">
        <f>$N$12</f>
        <v>0.06</v>
      </c>
      <c r="P79" s="265">
        <f t="shared" si="2"/>
        <v>218.18293532297596</v>
      </c>
      <c r="Q79" s="265">
        <f t="shared" si="3"/>
        <v>231.27391144235452</v>
      </c>
    </row>
    <row r="80" spans="3:17" ht="13.5">
      <c r="C80" s="4"/>
      <c r="D80" s="44"/>
      <c r="E80" s="44"/>
      <c r="F80" s="27"/>
      <c r="G80" s="4"/>
      <c r="H80" s="45"/>
      <c r="I80" s="112"/>
      <c r="J80" s="265"/>
      <c r="K80" s="265"/>
      <c r="L80" s="265"/>
      <c r="M80" s="265"/>
      <c r="N80" s="111"/>
      <c r="P80" s="265"/>
      <c r="Q80" s="265"/>
    </row>
    <row r="81" spans="1:17" s="2" customFormat="1" ht="13.5">
      <c r="A81" s="2" t="s">
        <v>639</v>
      </c>
      <c r="C81" s="9"/>
      <c r="D81" s="44"/>
      <c r="E81" s="44"/>
      <c r="F81" s="27"/>
      <c r="G81" s="4"/>
      <c r="H81" s="45"/>
      <c r="I81" s="112"/>
      <c r="J81" s="265"/>
      <c r="K81" s="265"/>
      <c r="L81" s="265"/>
      <c r="M81" s="265"/>
      <c r="N81" s="111"/>
      <c r="P81" s="265"/>
      <c r="Q81" s="265"/>
    </row>
    <row r="82" spans="1:17" ht="13.5">
      <c r="A82" s="3" t="s">
        <v>626</v>
      </c>
      <c r="B82" s="3">
        <v>75.44</v>
      </c>
      <c r="C82" s="4"/>
      <c r="D82" s="44">
        <f>B82*1.1</f>
        <v>82.98400000000001</v>
      </c>
      <c r="E82" s="27">
        <f>D82*1.1</f>
        <v>91.28240000000002</v>
      </c>
      <c r="F82" s="27">
        <f>E82*1.1</f>
        <v>100.41064000000003</v>
      </c>
      <c r="G82" s="4">
        <f>(F82-E82)/E82</f>
        <v>0.10000000000000003</v>
      </c>
      <c r="H82" s="112">
        <v>116.03453558400005</v>
      </c>
      <c r="I82" s="112">
        <f>H82*1.06</f>
        <v>122.99660771904006</v>
      </c>
      <c r="J82" s="265">
        <f>I82*1.06</f>
        <v>130.37640418218245</v>
      </c>
      <c r="K82" s="265">
        <f>(J82*$N$12)+J82</f>
        <v>138.1989884331134</v>
      </c>
      <c r="L82" s="265">
        <v>146.49092773910021</v>
      </c>
      <c r="M82" s="265">
        <f>(L82*N82)+L82</f>
        <v>155.28038340344622</v>
      </c>
      <c r="N82" s="111">
        <f>$N$12</f>
        <v>0.06</v>
      </c>
      <c r="P82" s="265">
        <f aca="true" t="shared" si="29" ref="P82:P100">(M82*$P$12)+M82</f>
        <v>164.597206407653</v>
      </c>
      <c r="Q82" s="265">
        <f aca="true" t="shared" si="30" ref="Q82:Q100">(P82*$Q$12)+P82</f>
        <v>174.4730387921122</v>
      </c>
    </row>
    <row r="83" spans="1:17" ht="13.5">
      <c r="A83" s="3" t="s">
        <v>627</v>
      </c>
      <c r="B83" s="3">
        <v>66.62</v>
      </c>
      <c r="C83" s="4"/>
      <c r="D83" s="44">
        <f>B83*1.1</f>
        <v>73.28200000000001</v>
      </c>
      <c r="E83" s="27">
        <f>D83*1.1</f>
        <v>80.61020000000002</v>
      </c>
      <c r="F83" s="27">
        <f>E83*1.1</f>
        <v>88.67122000000003</v>
      </c>
      <c r="G83" s="4">
        <f>(F83-E83)/E83</f>
        <v>0.10000000000000014</v>
      </c>
      <c r="H83" s="112">
        <v>102.46846183200006</v>
      </c>
      <c r="I83" s="112">
        <f>H83*1.06</f>
        <v>108.61656954192007</v>
      </c>
      <c r="J83" s="265">
        <f>I83*1.06</f>
        <v>115.13356371443528</v>
      </c>
      <c r="K83" s="265">
        <f>(J83*$N$12)+J83</f>
        <v>122.04157753730141</v>
      </c>
      <c r="L83" s="265">
        <v>129.36407218953948</v>
      </c>
      <c r="M83" s="265">
        <f>(L83*N83)+L83</f>
        <v>137.12591652091186</v>
      </c>
      <c r="N83" s="111">
        <f>$N$12</f>
        <v>0.06</v>
      </c>
      <c r="P83" s="265">
        <f t="shared" si="29"/>
        <v>145.35347151216658</v>
      </c>
      <c r="Q83" s="265">
        <f t="shared" si="30"/>
        <v>154.07467980289658</v>
      </c>
    </row>
    <row r="84" spans="3:17" ht="13.5">
      <c r="C84" s="4"/>
      <c r="F84" s="27"/>
      <c r="G84" s="4"/>
      <c r="H84" s="94"/>
      <c r="I84" s="23"/>
      <c r="J84" s="265"/>
      <c r="K84" s="265"/>
      <c r="L84" s="265"/>
      <c r="M84" s="265"/>
      <c r="N84" s="111"/>
      <c r="P84" s="265"/>
      <c r="Q84" s="265"/>
    </row>
    <row r="85" spans="1:17" s="2" customFormat="1" ht="13.5">
      <c r="A85" s="2" t="s">
        <v>640</v>
      </c>
      <c r="F85" s="27"/>
      <c r="G85" s="4"/>
      <c r="H85" s="94"/>
      <c r="I85" s="23"/>
      <c r="J85" s="265"/>
      <c r="K85" s="265"/>
      <c r="L85" s="265"/>
      <c r="M85" s="265"/>
      <c r="N85" s="111"/>
      <c r="P85" s="265"/>
      <c r="Q85" s="265"/>
    </row>
    <row r="86" spans="1:17" ht="13.5">
      <c r="A86" s="2" t="s">
        <v>641</v>
      </c>
      <c r="F86" s="27"/>
      <c r="G86" s="4"/>
      <c r="H86" s="94"/>
      <c r="I86" s="23"/>
      <c r="J86" s="265"/>
      <c r="K86" s="265"/>
      <c r="L86" s="265"/>
      <c r="M86" s="265"/>
      <c r="N86" s="111"/>
      <c r="P86" s="265"/>
      <c r="Q86" s="265"/>
    </row>
    <row r="87" spans="1:17" ht="13.5">
      <c r="A87" s="3" t="s">
        <v>642</v>
      </c>
      <c r="B87" s="3">
        <v>441.59</v>
      </c>
      <c r="D87" s="45">
        <f>B87*1.1</f>
        <v>485.749</v>
      </c>
      <c r="E87" s="27">
        <f aca="true" t="shared" si="31" ref="E87:F90">D87*1.1</f>
        <v>534.3239000000001</v>
      </c>
      <c r="F87" s="27">
        <f t="shared" si="31"/>
        <v>587.7562900000001</v>
      </c>
      <c r="G87" s="4">
        <f>(F87-E87)/E87</f>
        <v>0.10000000000000009</v>
      </c>
      <c r="H87" s="112">
        <v>679.2111687240002</v>
      </c>
      <c r="I87" s="112">
        <f aca="true" t="shared" si="32" ref="I87:J90">H87*1.06</f>
        <v>719.9638388474402</v>
      </c>
      <c r="J87" s="265">
        <f t="shared" si="32"/>
        <v>763.1616691782867</v>
      </c>
      <c r="K87" s="265">
        <f>(J87*$N$12)+J87</f>
        <v>808.9513693289839</v>
      </c>
      <c r="L87" s="265">
        <v>857.488451488723</v>
      </c>
      <c r="M87" s="265">
        <f>(L87*N87)+L87</f>
        <v>908.9377585780463</v>
      </c>
      <c r="N87" s="111">
        <f>$N$12</f>
        <v>0.06</v>
      </c>
      <c r="P87" s="265">
        <f t="shared" si="29"/>
        <v>963.4740240927291</v>
      </c>
      <c r="Q87" s="265">
        <f t="shared" si="30"/>
        <v>1021.2824655382929</v>
      </c>
    </row>
    <row r="88" spans="1:17" ht="13.5">
      <c r="A88" s="3" t="s">
        <v>643</v>
      </c>
      <c r="B88" s="3">
        <v>508.21</v>
      </c>
      <c r="D88" s="45">
        <f>B88*1.1</f>
        <v>559.0310000000001</v>
      </c>
      <c r="E88" s="27">
        <f t="shared" si="31"/>
        <v>614.9341000000002</v>
      </c>
      <c r="F88" s="27">
        <f t="shared" si="31"/>
        <v>676.4275100000002</v>
      </c>
      <c r="G88" s="4">
        <f>(F88-E88)/E88</f>
        <v>0.10000000000000003</v>
      </c>
      <c r="H88" s="112">
        <v>781.6796305560003</v>
      </c>
      <c r="I88" s="112">
        <f t="shared" si="32"/>
        <v>828.5804083893604</v>
      </c>
      <c r="J88" s="265">
        <f t="shared" si="32"/>
        <v>878.2952328927221</v>
      </c>
      <c r="K88" s="265">
        <f>(J88*$N$12)+J88</f>
        <v>930.9929468662854</v>
      </c>
      <c r="L88" s="265">
        <v>986.8525236782625</v>
      </c>
      <c r="M88" s="265">
        <f>(L88*N88)+L88</f>
        <v>1046.0636750989584</v>
      </c>
      <c r="N88" s="111">
        <f>$N$12</f>
        <v>0.06</v>
      </c>
      <c r="P88" s="265">
        <f t="shared" si="29"/>
        <v>1108.8274956048958</v>
      </c>
      <c r="Q88" s="265">
        <f t="shared" si="30"/>
        <v>1175.3571453411896</v>
      </c>
    </row>
    <row r="89" spans="1:17" ht="13.5">
      <c r="A89" s="3" t="s">
        <v>644</v>
      </c>
      <c r="B89" s="3">
        <v>587.59</v>
      </c>
      <c r="D89" s="45">
        <f>B89*1.1</f>
        <v>646.349</v>
      </c>
      <c r="E89" s="27">
        <f t="shared" si="31"/>
        <v>710.9839000000001</v>
      </c>
      <c r="F89" s="27">
        <f t="shared" si="31"/>
        <v>782.0822900000002</v>
      </c>
      <c r="G89" s="4">
        <f>(F89-E89)/E89</f>
        <v>0.10000000000000014</v>
      </c>
      <c r="H89" s="112">
        <v>903.7742943240004</v>
      </c>
      <c r="I89" s="112">
        <f t="shared" si="32"/>
        <v>958.0007519834404</v>
      </c>
      <c r="J89" s="265">
        <f t="shared" si="32"/>
        <v>1015.4807971024469</v>
      </c>
      <c r="K89" s="265">
        <f>(J89*$N$12)+J89</f>
        <v>1076.4096449285937</v>
      </c>
      <c r="L89" s="265">
        <v>1140.9942236243094</v>
      </c>
      <c r="M89" s="265">
        <f>(L89*N89)+L89</f>
        <v>1209.453877041768</v>
      </c>
      <c r="N89" s="111">
        <f>$N$12</f>
        <v>0.06</v>
      </c>
      <c r="P89" s="265">
        <f t="shared" si="29"/>
        <v>1282.021109664274</v>
      </c>
      <c r="Q89" s="265">
        <f t="shared" si="30"/>
        <v>1358.9423762441304</v>
      </c>
    </row>
    <row r="90" spans="1:17" ht="13.5">
      <c r="A90" s="3" t="s">
        <v>645</v>
      </c>
      <c r="B90" s="3">
        <v>654.21</v>
      </c>
      <c r="D90" s="45">
        <f>B90*1.1</f>
        <v>719.6310000000001</v>
      </c>
      <c r="E90" s="27">
        <f t="shared" si="31"/>
        <v>791.5941000000001</v>
      </c>
      <c r="F90" s="27">
        <f t="shared" si="31"/>
        <v>870.7535100000002</v>
      </c>
      <c r="G90" s="4">
        <f>(F90-E90)/E90</f>
        <v>0.1000000000000001</v>
      </c>
      <c r="H90" s="112">
        <v>1006.2427561560005</v>
      </c>
      <c r="I90" s="112">
        <f t="shared" si="32"/>
        <v>1066.6173215253605</v>
      </c>
      <c r="J90" s="265">
        <f t="shared" si="32"/>
        <v>1130.6143608168823</v>
      </c>
      <c r="K90" s="265">
        <f>(J90*$N$12)+J90</f>
        <v>1198.4512224658952</v>
      </c>
      <c r="L90" s="265">
        <v>1270.3582958138488</v>
      </c>
      <c r="M90" s="265">
        <f>(L90*N90)+L90</f>
        <v>1346.5797935626797</v>
      </c>
      <c r="N90" s="111">
        <f>$N$12</f>
        <v>0.06</v>
      </c>
      <c r="P90" s="265">
        <f t="shared" si="29"/>
        <v>1427.3745811764404</v>
      </c>
      <c r="Q90" s="265">
        <f t="shared" si="30"/>
        <v>1513.017056047027</v>
      </c>
    </row>
    <row r="91" spans="1:17" s="2" customFormat="1" ht="13.5">
      <c r="A91" s="2" t="s">
        <v>646</v>
      </c>
      <c r="D91" s="45"/>
      <c r="E91" s="45"/>
      <c r="F91" s="27"/>
      <c r="G91" s="4"/>
      <c r="H91" s="94"/>
      <c r="I91" s="23"/>
      <c r="J91" s="265"/>
      <c r="K91" s="265"/>
      <c r="L91" s="265"/>
      <c r="M91" s="265"/>
      <c r="N91" s="111"/>
      <c r="P91" s="265"/>
      <c r="Q91" s="265"/>
    </row>
    <row r="92" spans="1:17" ht="13.5">
      <c r="A92" s="3" t="s">
        <v>647</v>
      </c>
      <c r="B92" s="3">
        <v>733.59</v>
      </c>
      <c r="D92" s="45">
        <f>B92*1.1</f>
        <v>806.9490000000001</v>
      </c>
      <c r="E92" s="27">
        <f aca="true" t="shared" si="33" ref="E92:F95">D92*1.1</f>
        <v>887.6439000000001</v>
      </c>
      <c r="F92" s="27">
        <f t="shared" si="33"/>
        <v>976.4082900000002</v>
      </c>
      <c r="G92" s="4">
        <f>(F92-E92)/E92</f>
        <v>0.10000000000000003</v>
      </c>
      <c r="H92" s="112">
        <v>1128.3374199240004</v>
      </c>
      <c r="I92" s="112">
        <f aca="true" t="shared" si="34" ref="I92:J95">H92*1.06</f>
        <v>1196.0376651194406</v>
      </c>
      <c r="J92" s="265">
        <f t="shared" si="34"/>
        <v>1267.799925026607</v>
      </c>
      <c r="K92" s="265">
        <f>(J92*$N$12)+J92</f>
        <v>1343.8679205282035</v>
      </c>
      <c r="L92" s="265">
        <v>1424.4999957598957</v>
      </c>
      <c r="M92" s="265">
        <f>(L92*N92)+L92</f>
        <v>1509.9699955054894</v>
      </c>
      <c r="N92" s="111">
        <f aca="true" t="shared" si="35" ref="N92:N100">$N$12</f>
        <v>0.06</v>
      </c>
      <c r="P92" s="265">
        <f t="shared" si="29"/>
        <v>1600.5681952358186</v>
      </c>
      <c r="Q92" s="265">
        <f t="shared" si="30"/>
        <v>1696.6022869499677</v>
      </c>
    </row>
    <row r="93" spans="1:17" ht="13.5">
      <c r="A93" s="3" t="s">
        <v>648</v>
      </c>
      <c r="B93" s="3">
        <v>933.44</v>
      </c>
      <c r="D93" s="27">
        <f>B93*1.1</f>
        <v>1026.784</v>
      </c>
      <c r="E93" s="27">
        <f t="shared" si="33"/>
        <v>1129.4624000000001</v>
      </c>
      <c r="F93" s="27">
        <f t="shared" si="33"/>
        <v>1242.4086400000003</v>
      </c>
      <c r="G93" s="4">
        <f>(F93-E93)/E93</f>
        <v>0.10000000000000019</v>
      </c>
      <c r="H93" s="112">
        <v>1435.7274243840006</v>
      </c>
      <c r="I93" s="112">
        <f t="shared" si="34"/>
        <v>1521.8710698470406</v>
      </c>
      <c r="J93" s="265">
        <f t="shared" si="34"/>
        <v>1613.1833340378632</v>
      </c>
      <c r="K93" s="265">
        <f>(J93*$N$12)+J93</f>
        <v>1709.9743340801351</v>
      </c>
      <c r="L93" s="265">
        <v>1812.5727941249431</v>
      </c>
      <c r="M93" s="265">
        <f>(L93*N93)+L93</f>
        <v>1921.3271617724397</v>
      </c>
      <c r="N93" s="111">
        <f t="shared" si="35"/>
        <v>0.06</v>
      </c>
      <c r="P93" s="265">
        <f t="shared" si="29"/>
        <v>2036.6067914787861</v>
      </c>
      <c r="Q93" s="265">
        <f t="shared" si="30"/>
        <v>2158.8031989675133</v>
      </c>
    </row>
    <row r="94" spans="1:17" ht="13.5">
      <c r="A94" s="3" t="s">
        <v>649</v>
      </c>
      <c r="B94" s="3">
        <v>979.51</v>
      </c>
      <c r="D94" s="27">
        <f>B94*1.1</f>
        <v>1077.461</v>
      </c>
      <c r="E94" s="27">
        <f t="shared" si="33"/>
        <v>1185.2071</v>
      </c>
      <c r="F94" s="27">
        <f t="shared" si="33"/>
        <v>1303.72781</v>
      </c>
      <c r="G94" s="4">
        <f>(F94-E94)/E94</f>
        <v>0.1</v>
      </c>
      <c r="H94" s="112">
        <v>1506.5878572360002</v>
      </c>
      <c r="I94" s="112">
        <f t="shared" si="34"/>
        <v>1596.9831286701603</v>
      </c>
      <c r="J94" s="265">
        <f t="shared" si="34"/>
        <v>1692.80211639037</v>
      </c>
      <c r="K94" s="265">
        <f>(J94*$N$12)+J94</f>
        <v>1794.3702433737922</v>
      </c>
      <c r="L94" s="265">
        <v>1902.0324579762196</v>
      </c>
      <c r="M94" s="265">
        <f>(L94*N94)+L94</f>
        <v>2016.1544054547928</v>
      </c>
      <c r="N94" s="111">
        <f t="shared" si="35"/>
        <v>0.06</v>
      </c>
      <c r="P94" s="265">
        <f t="shared" si="29"/>
        <v>2137.1236697820805</v>
      </c>
      <c r="Q94" s="265">
        <f t="shared" si="30"/>
        <v>2265.3510899690054</v>
      </c>
    </row>
    <row r="95" spans="1:17" ht="13.5">
      <c r="A95" s="3" t="s">
        <v>650</v>
      </c>
      <c r="B95" s="7">
        <v>1079.44</v>
      </c>
      <c r="D95" s="27">
        <f>B95*1.1</f>
        <v>1187.3840000000002</v>
      </c>
      <c r="E95" s="27">
        <f t="shared" si="33"/>
        <v>1306.1224000000004</v>
      </c>
      <c r="F95" s="27">
        <f t="shared" si="33"/>
        <v>1436.7346400000006</v>
      </c>
      <c r="G95" s="4">
        <f>(F95-E95)/E95</f>
        <v>0.10000000000000009</v>
      </c>
      <c r="H95" s="112">
        <v>1660.290549984001</v>
      </c>
      <c r="I95" s="112">
        <f t="shared" si="34"/>
        <v>1759.9079829830412</v>
      </c>
      <c r="J95" s="265">
        <f t="shared" si="34"/>
        <v>1865.5024619620237</v>
      </c>
      <c r="K95" s="265">
        <f>(J95*$N$12)+J95</f>
        <v>1977.4326096797452</v>
      </c>
      <c r="L95" s="265">
        <v>2096.07856626053</v>
      </c>
      <c r="M95" s="265">
        <f>(L95*N95)+L95</f>
        <v>2221.8432802361617</v>
      </c>
      <c r="N95" s="111">
        <f t="shared" si="35"/>
        <v>0.06</v>
      </c>
      <c r="P95" s="265">
        <f t="shared" si="29"/>
        <v>2355.153877050331</v>
      </c>
      <c r="Q95" s="265">
        <f t="shared" si="30"/>
        <v>2496.463109673351</v>
      </c>
    </row>
    <row r="96" spans="4:17" ht="13.5">
      <c r="D96" s="45"/>
      <c r="E96" s="45"/>
      <c r="F96" s="27"/>
      <c r="G96" s="4"/>
      <c r="H96" s="94"/>
      <c r="I96" s="23"/>
      <c r="J96" s="269"/>
      <c r="K96" s="265"/>
      <c r="L96" s="265"/>
      <c r="M96" s="265"/>
      <c r="N96" s="111">
        <f t="shared" si="35"/>
        <v>0.06</v>
      </c>
      <c r="P96" s="265"/>
      <c r="Q96" s="265"/>
    </row>
    <row r="97" spans="1:17" s="20" customFormat="1" ht="67.5">
      <c r="A97" s="20" t="s">
        <v>651</v>
      </c>
      <c r="B97" s="20">
        <v>20</v>
      </c>
      <c r="D97" s="112">
        <f>B97*1.1</f>
        <v>22</v>
      </c>
      <c r="E97" s="81" t="s">
        <v>738</v>
      </c>
      <c r="F97" s="81" t="s">
        <v>756</v>
      </c>
      <c r="G97" s="43">
        <v>0.1</v>
      </c>
      <c r="H97" s="104" t="s">
        <v>826</v>
      </c>
      <c r="I97" s="104" t="s">
        <v>963</v>
      </c>
      <c r="J97" s="272" t="s">
        <v>970</v>
      </c>
      <c r="K97" s="273" t="s">
        <v>1071</v>
      </c>
      <c r="L97" s="273" t="s">
        <v>1072</v>
      </c>
      <c r="M97" s="273" t="s">
        <v>1400</v>
      </c>
      <c r="N97" s="768">
        <f t="shared" si="35"/>
        <v>0.06</v>
      </c>
      <c r="O97" s="20">
        <f>(3210.13*P12)+3210.13</f>
        <v>3402.7378</v>
      </c>
      <c r="P97" s="273" t="s">
        <v>1401</v>
      </c>
      <c r="Q97" s="273" t="s">
        <v>1402</v>
      </c>
    </row>
    <row r="98" spans="1:17" s="20" customFormat="1" ht="40.5">
      <c r="A98" s="539" t="s">
        <v>1205</v>
      </c>
      <c r="D98" s="112"/>
      <c r="E98" s="81"/>
      <c r="F98" s="81"/>
      <c r="G98" s="43"/>
      <c r="H98" s="104"/>
      <c r="I98" s="104"/>
      <c r="J98" s="272"/>
      <c r="K98" s="273"/>
      <c r="L98" s="273"/>
      <c r="M98" s="273"/>
      <c r="N98" s="111"/>
      <c r="P98" s="265"/>
      <c r="Q98" s="265"/>
    </row>
    <row r="99" spans="1:17" ht="13.5">
      <c r="A99" s="3" t="s">
        <v>652</v>
      </c>
      <c r="B99" s="27">
        <v>1000</v>
      </c>
      <c r="D99" s="27">
        <f>B99*1.1</f>
        <v>1100</v>
      </c>
      <c r="E99" s="27">
        <f>D99*1.1</f>
        <v>1210</v>
      </c>
      <c r="F99" s="27">
        <f>E99*1.1</f>
        <v>1331</v>
      </c>
      <c r="G99" s="4">
        <f>(F99-E99)/E99</f>
        <v>0.1</v>
      </c>
      <c r="H99" s="112">
        <v>1538.1036000000001</v>
      </c>
      <c r="I99" s="66">
        <f>H99*1.06</f>
        <v>1630.3898160000003</v>
      </c>
      <c r="J99" s="265">
        <f>I99*1.06</f>
        <v>1728.2132049600004</v>
      </c>
      <c r="K99" s="265">
        <f>(J99*$N$12)+J99</f>
        <v>1831.9059972576006</v>
      </c>
      <c r="L99" s="265">
        <v>1941.8203570930566</v>
      </c>
      <c r="M99" s="265">
        <f>(L99*N99)+L99</f>
        <v>2058.32957851864</v>
      </c>
      <c r="N99" s="111">
        <f t="shared" si="35"/>
        <v>0.06</v>
      </c>
      <c r="P99" s="265">
        <f t="shared" si="29"/>
        <v>2181.8293532297585</v>
      </c>
      <c r="Q99" s="265">
        <f t="shared" si="30"/>
        <v>2312.739114423544</v>
      </c>
    </row>
    <row r="100" spans="1:17" ht="13.5">
      <c r="A100" s="3" t="s">
        <v>653</v>
      </c>
      <c r="D100" s="3">
        <v>0</v>
      </c>
      <c r="E100" s="27">
        <v>3000</v>
      </c>
      <c r="F100" s="27">
        <f>E100*1.1</f>
        <v>3300.0000000000005</v>
      </c>
      <c r="G100" s="4">
        <f>(F100-E100)/E100</f>
        <v>0.10000000000000016</v>
      </c>
      <c r="H100" s="112">
        <v>3813.4800000000014</v>
      </c>
      <c r="I100" s="66">
        <f>H100*1.06</f>
        <v>4042.2888000000016</v>
      </c>
      <c r="J100" s="265">
        <f>I100*1.06</f>
        <v>4284.8261280000015</v>
      </c>
      <c r="K100" s="265">
        <f>(J100*$N$12)+J100</f>
        <v>4541.915695680002</v>
      </c>
      <c r="L100" s="265">
        <v>4814.430637420802</v>
      </c>
      <c r="M100" s="265">
        <f>(L100*N100)+L100</f>
        <v>5103.296475666049</v>
      </c>
      <c r="N100" s="111">
        <f t="shared" si="35"/>
        <v>0.06</v>
      </c>
      <c r="P100" s="265">
        <f t="shared" si="29"/>
        <v>5409.494264206012</v>
      </c>
      <c r="Q100" s="265">
        <f t="shared" si="30"/>
        <v>5734.063920058373</v>
      </c>
    </row>
    <row r="101" spans="8:13" ht="13.5">
      <c r="H101" s="45"/>
      <c r="I101" s="112"/>
      <c r="J101" s="112"/>
      <c r="K101" s="66"/>
      <c r="L101" s="66"/>
      <c r="M101" s="66"/>
    </row>
    <row r="102" spans="1:13" ht="67.5">
      <c r="A102" s="538" t="s">
        <v>1253</v>
      </c>
      <c r="H102" s="45"/>
      <c r="I102" s="112"/>
      <c r="J102" s="112"/>
      <c r="K102" s="66"/>
      <c r="L102" s="66"/>
      <c r="M102" s="66"/>
    </row>
    <row r="103" spans="1:13" ht="81">
      <c r="A103" s="538" t="s">
        <v>1254</v>
      </c>
      <c r="H103" s="45"/>
      <c r="I103" s="112"/>
      <c r="J103" s="112"/>
      <c r="K103" s="66"/>
      <c r="L103" s="66"/>
      <c r="M103" s="66"/>
    </row>
    <row r="104" spans="1:13" ht="27">
      <c r="A104" s="538" t="s">
        <v>1252</v>
      </c>
      <c r="H104" s="45"/>
      <c r="I104" s="112"/>
      <c r="J104" s="112"/>
      <c r="K104" s="66"/>
      <c r="L104" s="66"/>
      <c r="M104" s="66"/>
    </row>
    <row r="105" spans="1:13" ht="13.5">
      <c r="A105" s="538"/>
      <c r="H105" s="45"/>
      <c r="I105" s="112"/>
      <c r="J105" s="112"/>
      <c r="K105" s="66"/>
      <c r="L105" s="66"/>
      <c r="M105" s="66"/>
    </row>
    <row r="106" spans="1:13" ht="27">
      <c r="A106" s="703" t="s">
        <v>1170</v>
      </c>
      <c r="I106" s="23"/>
      <c r="J106" s="23"/>
      <c r="K106" s="66"/>
      <c r="L106" s="66"/>
      <c r="M106" s="66"/>
    </row>
    <row r="107" spans="1:13" ht="13.5">
      <c r="A107" s="2" t="s">
        <v>1162</v>
      </c>
      <c r="I107" s="23"/>
      <c r="J107" s="23"/>
      <c r="K107" s="66"/>
      <c r="L107" s="66"/>
      <c r="M107" s="66"/>
    </row>
    <row r="108" spans="9:13" ht="13.5">
      <c r="I108" s="23"/>
      <c r="J108" s="23"/>
      <c r="K108" s="66"/>
      <c r="L108" s="66"/>
      <c r="M108" s="66"/>
    </row>
    <row r="109" spans="9:13" ht="13.5">
      <c r="I109" s="23"/>
      <c r="J109" s="23"/>
      <c r="K109" s="66"/>
      <c r="L109" s="66"/>
      <c r="M109" s="66"/>
    </row>
    <row r="110" spans="9:13" ht="13.5">
      <c r="I110" s="23"/>
      <c r="J110" s="23"/>
      <c r="K110" s="66"/>
      <c r="L110" s="66"/>
      <c r="M110" s="66"/>
    </row>
    <row r="111" spans="9:13" ht="13.5">
      <c r="I111" s="23"/>
      <c r="J111" s="23"/>
      <c r="K111" s="66"/>
      <c r="L111" s="66"/>
      <c r="M111" s="66"/>
    </row>
    <row r="112" spans="9:13" ht="13.5">
      <c r="I112" s="23"/>
      <c r="J112" s="23"/>
      <c r="K112" s="66"/>
      <c r="L112" s="66"/>
      <c r="M112" s="66"/>
    </row>
    <row r="113" spans="9:13" ht="13.5">
      <c r="I113" s="23"/>
      <c r="J113" s="23"/>
      <c r="K113" s="66"/>
      <c r="L113" s="66"/>
      <c r="M113" s="66"/>
    </row>
    <row r="114" spans="9:13" ht="13.5">
      <c r="I114" s="23"/>
      <c r="J114" s="23"/>
      <c r="K114" s="66"/>
      <c r="L114" s="66"/>
      <c r="M114" s="66"/>
    </row>
    <row r="115" spans="9:13" ht="13.5">
      <c r="I115" s="23"/>
      <c r="J115" s="23"/>
      <c r="K115" s="66"/>
      <c r="L115" s="66"/>
      <c r="M115" s="66"/>
    </row>
    <row r="116" spans="9:13" ht="13.5">
      <c r="I116" s="23"/>
      <c r="J116" s="23"/>
      <c r="K116" s="66"/>
      <c r="L116" s="66"/>
      <c r="M116" s="66"/>
    </row>
    <row r="117" spans="9:13" ht="13.5">
      <c r="I117" s="23"/>
      <c r="J117" s="23"/>
      <c r="K117" s="66"/>
      <c r="L117" s="66"/>
      <c r="M117" s="66"/>
    </row>
    <row r="118" spans="9:13" ht="13.5">
      <c r="I118" s="23"/>
      <c r="J118" s="23"/>
      <c r="K118" s="66"/>
      <c r="L118" s="66"/>
      <c r="M118" s="66"/>
    </row>
  </sheetData>
  <sheetProtection/>
  <mergeCells count="1">
    <mergeCell ref="L1:N1"/>
  </mergeCells>
  <printOptions gridLines="1"/>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dimension ref="A1:Q618"/>
  <sheetViews>
    <sheetView zoomScale="90" zoomScaleNormal="90" zoomScalePageLayoutView="0" workbookViewId="0" topLeftCell="A1">
      <pane xSplit="1" topLeftCell="K1" activePane="topRight" state="frozen"/>
      <selection pane="topLeft" activeCell="A1" sqref="A1"/>
      <selection pane="topRight" activeCell="M135" sqref="M135"/>
    </sheetView>
  </sheetViews>
  <sheetFormatPr defaultColWidth="9.140625" defaultRowHeight="12.75"/>
  <cols>
    <col min="1" max="1" width="122.57421875" style="20" customWidth="1"/>
    <col min="2" max="2" width="22.57421875" style="20" hidden="1" customWidth="1"/>
    <col min="3" max="3" width="17.57421875" style="21" hidden="1" customWidth="1"/>
    <col min="4" max="5" width="22.421875" style="21" hidden="1" customWidth="1"/>
    <col min="6" max="6" width="16.57421875" style="20" hidden="1" customWidth="1"/>
    <col min="7" max="8" width="22.421875" style="102" hidden="1" customWidth="1"/>
    <col min="9" max="9" width="22.421875" style="243" hidden="1" customWidth="1"/>
    <col min="10" max="10" width="17.00390625" style="114" hidden="1" customWidth="1"/>
    <col min="11" max="11" width="17.00390625" style="114" customWidth="1"/>
    <col min="12" max="12" width="21.00390625" style="114" customWidth="1"/>
    <col min="13" max="13" width="18.8515625" style="290" customWidth="1"/>
    <col min="14" max="14" width="11.00390625" style="20" hidden="1" customWidth="1"/>
    <col min="15" max="15" width="16.00390625" style="20" customWidth="1"/>
    <col min="16" max="16" width="17.57421875" style="20" customWidth="1"/>
    <col min="17" max="17" width="14.421875" style="20" customWidth="1"/>
    <col min="18" max="16384" width="9.140625" style="20" customWidth="1"/>
  </cols>
  <sheetData>
    <row r="1" spans="4:13" s="18" customFormat="1" ht="18">
      <c r="D1" s="39"/>
      <c r="E1" s="39"/>
      <c r="G1" s="40"/>
      <c r="H1" s="40"/>
      <c r="I1" s="278"/>
      <c r="K1" s="990" t="s">
        <v>1083</v>
      </c>
      <c r="L1" s="990"/>
      <c r="M1" s="990"/>
    </row>
    <row r="2" ht="15">
      <c r="A2" s="706" t="s">
        <v>20</v>
      </c>
    </row>
    <row r="3" spans="1:13" s="18" customFormat="1" ht="18">
      <c r="A3" s="55" t="s">
        <v>1511</v>
      </c>
      <c r="C3" s="72"/>
      <c r="D3" s="72"/>
      <c r="E3" s="72"/>
      <c r="G3" s="40"/>
      <c r="H3" s="40"/>
      <c r="I3" s="278"/>
      <c r="J3" s="947"/>
      <c r="K3" s="947"/>
      <c r="L3" s="947"/>
      <c r="M3" s="22"/>
    </row>
    <row r="4" spans="3:13" s="18" customFormat="1" ht="18">
      <c r="C4" s="72"/>
      <c r="D4" s="72"/>
      <c r="E4" s="72"/>
      <c r="G4" s="40"/>
      <c r="H4" s="40"/>
      <c r="I4" s="278"/>
      <c r="J4" s="279"/>
      <c r="K4" s="279"/>
      <c r="L4" s="279"/>
      <c r="M4" s="289"/>
    </row>
    <row r="5" ht="14.25">
      <c r="A5" s="948" t="s">
        <v>311</v>
      </c>
    </row>
    <row r="6" spans="1:17" ht="51" customHeight="1">
      <c r="A6" s="949"/>
      <c r="J6" s="950" t="s">
        <v>1281</v>
      </c>
      <c r="K6" s="950" t="s">
        <v>1280</v>
      </c>
      <c r="L6" s="950" t="s">
        <v>1512</v>
      </c>
      <c r="M6" s="951" t="s">
        <v>22</v>
      </c>
      <c r="O6" s="660" t="s">
        <v>1513</v>
      </c>
      <c r="P6" s="661" t="s">
        <v>1514</v>
      </c>
      <c r="Q6" s="661"/>
    </row>
    <row r="7" spans="1:16" s="55" customFormat="1" ht="14.25">
      <c r="A7" s="55" t="s">
        <v>81</v>
      </c>
      <c r="C7" s="73"/>
      <c r="D7" s="73"/>
      <c r="E7" s="73"/>
      <c r="G7" s="99"/>
      <c r="H7" s="99"/>
      <c r="I7" s="280"/>
      <c r="M7" s="649">
        <v>0.06</v>
      </c>
      <c r="O7" s="649">
        <v>0.06</v>
      </c>
      <c r="P7" s="649">
        <v>0.06</v>
      </c>
    </row>
    <row r="8" ht="13.5" hidden="1"/>
    <row r="9" spans="1:13" s="55" customFormat="1" ht="13.5" hidden="1">
      <c r="A9" s="55" t="s">
        <v>82</v>
      </c>
      <c r="C9" s="73"/>
      <c r="D9" s="73"/>
      <c r="E9" s="73"/>
      <c r="G9" s="99"/>
      <c r="H9" s="99"/>
      <c r="I9" s="280"/>
      <c r="J9" s="281"/>
      <c r="K9" s="281"/>
      <c r="L9" s="281"/>
      <c r="M9" s="291"/>
    </row>
    <row r="10" spans="1:13" s="55" customFormat="1" ht="13.5" hidden="1">
      <c r="A10" s="22" t="s">
        <v>369</v>
      </c>
      <c r="C10" s="73"/>
      <c r="D10" s="73"/>
      <c r="E10" s="73"/>
      <c r="G10" s="99"/>
      <c r="H10" s="99"/>
      <c r="I10" s="280"/>
      <c r="J10" s="281"/>
      <c r="K10" s="281"/>
      <c r="L10" s="281"/>
      <c r="M10" s="291"/>
    </row>
    <row r="11" spans="2:13" s="22" customFormat="1" ht="27" hidden="1">
      <c r="B11" s="19" t="s">
        <v>365</v>
      </c>
      <c r="C11" s="74" t="s">
        <v>370</v>
      </c>
      <c r="D11" s="74" t="s">
        <v>529</v>
      </c>
      <c r="E11" s="74" t="s">
        <v>566</v>
      </c>
      <c r="F11" s="22" t="s">
        <v>22</v>
      </c>
      <c r="G11" s="100" t="s">
        <v>825</v>
      </c>
      <c r="H11" s="100" t="s">
        <v>921</v>
      </c>
      <c r="I11" s="282" t="s">
        <v>965</v>
      </c>
      <c r="J11" s="409" t="s">
        <v>1067</v>
      </c>
      <c r="K11" s="409" t="s">
        <v>1269</v>
      </c>
      <c r="L11" s="409"/>
      <c r="M11" s="292" t="s">
        <v>22</v>
      </c>
    </row>
    <row r="12" spans="3:13" s="22" customFormat="1" ht="13.5" hidden="1">
      <c r="C12" s="69"/>
      <c r="D12" s="69"/>
      <c r="E12" s="69"/>
      <c r="G12" s="101"/>
      <c r="H12" s="101"/>
      <c r="I12" s="283"/>
      <c r="J12" s="284"/>
      <c r="K12" s="284"/>
      <c r="L12" s="284"/>
      <c r="M12" s="293">
        <v>0.06</v>
      </c>
    </row>
    <row r="13" spans="1:13" s="22" customFormat="1" ht="13.5" hidden="1">
      <c r="A13" s="22" t="s">
        <v>83</v>
      </c>
      <c r="B13" s="19" t="s">
        <v>366</v>
      </c>
      <c r="C13" s="69" t="s">
        <v>366</v>
      </c>
      <c r="D13" s="69"/>
      <c r="E13" s="69"/>
      <c r="F13" s="75" t="s">
        <v>371</v>
      </c>
      <c r="G13" s="101"/>
      <c r="H13" s="101"/>
      <c r="I13" s="283"/>
      <c r="J13" s="284"/>
      <c r="K13" s="284"/>
      <c r="L13" s="284"/>
      <c r="M13" s="292"/>
    </row>
    <row r="14" spans="1:13" ht="13.5" hidden="1">
      <c r="A14" s="20" t="s">
        <v>84</v>
      </c>
      <c r="B14" s="21">
        <v>400</v>
      </c>
      <c r="C14" s="21">
        <f aca="true" t="shared" si="0" ref="C14:D16">B14*1.1</f>
        <v>440.00000000000006</v>
      </c>
      <c r="D14" s="66">
        <f t="shared" si="0"/>
        <v>484.0000000000001</v>
      </c>
      <c r="E14" s="66">
        <f>D14*1.1</f>
        <v>532.4000000000002</v>
      </c>
      <c r="F14" s="43">
        <f>(E14-D14)/D14</f>
        <v>0.10000000000000016</v>
      </c>
      <c r="G14" s="112">
        <v>615.2414400000004</v>
      </c>
      <c r="H14" s="112">
        <f aca="true" t="shared" si="1" ref="H14:H20">G14*1.06</f>
        <v>652.1559264000005</v>
      </c>
      <c r="I14" s="271">
        <f>H14*1.06</f>
        <v>691.2852819840006</v>
      </c>
      <c r="J14" s="271">
        <f>(I14*$M$12)+I14</f>
        <v>732.7623989030405</v>
      </c>
      <c r="K14" s="271">
        <f>(J14*$M$12)+J14</f>
        <v>776.728142837223</v>
      </c>
      <c r="L14" s="271"/>
      <c r="M14" s="832">
        <f>(K14-J14)/J14</f>
        <v>0.06000000000000003</v>
      </c>
    </row>
    <row r="15" spans="1:13" ht="13.5" hidden="1">
      <c r="A15" s="20" t="s">
        <v>85</v>
      </c>
      <c r="B15" s="21">
        <v>550</v>
      </c>
      <c r="C15" s="21">
        <f t="shared" si="0"/>
        <v>605</v>
      </c>
      <c r="D15" s="66">
        <f t="shared" si="0"/>
        <v>665.5</v>
      </c>
      <c r="E15" s="66">
        <f>D15*1.1</f>
        <v>732.0500000000001</v>
      </c>
      <c r="F15" s="43">
        <f aca="true" t="shared" si="2" ref="F15:F20">(E15-D15)/D15</f>
        <v>0.1000000000000001</v>
      </c>
      <c r="G15" s="112">
        <v>845.9569800000002</v>
      </c>
      <c r="H15" s="112">
        <f t="shared" si="1"/>
        <v>896.7143988000003</v>
      </c>
      <c r="I15" s="271">
        <f>H15*1.06</f>
        <v>950.5172627280003</v>
      </c>
      <c r="J15" s="271">
        <f>(I15*$M$12)+I15</f>
        <v>1007.5482984916804</v>
      </c>
      <c r="K15" s="271">
        <f aca="true" t="shared" si="3" ref="K15:K20">(J15*$M$12)+J15</f>
        <v>1068.0011964011812</v>
      </c>
      <c r="L15" s="271"/>
      <c r="M15" s="832">
        <f>(K15-J15)/J15</f>
        <v>0.060000000000000026</v>
      </c>
    </row>
    <row r="16" spans="1:13" ht="13.5" hidden="1">
      <c r="A16" s="20" t="s">
        <v>86</v>
      </c>
      <c r="B16" s="21">
        <v>1500</v>
      </c>
      <c r="C16" s="21">
        <f t="shared" si="0"/>
        <v>1650.0000000000002</v>
      </c>
      <c r="D16" s="66">
        <f t="shared" si="0"/>
        <v>1815.0000000000005</v>
      </c>
      <c r="E16" s="66">
        <f>D16*1.1</f>
        <v>1996.5000000000007</v>
      </c>
      <c r="F16" s="43">
        <f t="shared" si="2"/>
        <v>0.1000000000000001</v>
      </c>
      <c r="G16" s="112">
        <v>2307.155400000001</v>
      </c>
      <c r="H16" s="112">
        <f t="shared" si="1"/>
        <v>2445.584724000001</v>
      </c>
      <c r="I16" s="271">
        <f>H16*1.06</f>
        <v>2592.3198074400016</v>
      </c>
      <c r="J16" s="271">
        <f>(I16*$M$12)+I16</f>
        <v>2747.8589958864018</v>
      </c>
      <c r="K16" s="271">
        <f t="shared" si="3"/>
        <v>2912.730535639586</v>
      </c>
      <c r="L16" s="271"/>
      <c r="M16" s="832">
        <f>(K16-J16)/J16</f>
        <v>0.06000000000000002</v>
      </c>
    </row>
    <row r="17" spans="1:14" s="22" customFormat="1" ht="13.5" hidden="1">
      <c r="A17" s="20" t="s">
        <v>507</v>
      </c>
      <c r="B17" s="20" t="s">
        <v>87</v>
      </c>
      <c r="C17" s="21" t="s">
        <v>87</v>
      </c>
      <c r="D17" s="76" t="s">
        <v>87</v>
      </c>
      <c r="E17" s="76" t="s">
        <v>655</v>
      </c>
      <c r="F17" s="43">
        <v>0.1</v>
      </c>
      <c r="G17" s="113" t="s">
        <v>831</v>
      </c>
      <c r="H17" s="113" t="s">
        <v>924</v>
      </c>
      <c r="I17" s="270" t="s">
        <v>971</v>
      </c>
      <c r="J17" s="271" t="s">
        <v>1048</v>
      </c>
      <c r="K17" s="271" t="s">
        <v>1073</v>
      </c>
      <c r="L17" s="271"/>
      <c r="M17" s="832">
        <v>0.06</v>
      </c>
      <c r="N17" s="22">
        <v>30</v>
      </c>
    </row>
    <row r="18" spans="1:13" ht="13.5" hidden="1">
      <c r="A18" s="20" t="s">
        <v>88</v>
      </c>
      <c r="B18" s="21">
        <v>2500</v>
      </c>
      <c r="C18" s="21">
        <f aca="true" t="shared" si="4" ref="C18:D20">B18*1.1</f>
        <v>2750</v>
      </c>
      <c r="D18" s="66">
        <f t="shared" si="4"/>
        <v>3025.0000000000005</v>
      </c>
      <c r="E18" s="66">
        <f>D18*1.1</f>
        <v>3327.500000000001</v>
      </c>
      <c r="F18" s="43">
        <f t="shared" si="2"/>
        <v>0.10000000000000013</v>
      </c>
      <c r="G18" s="112">
        <v>3845.2590000000014</v>
      </c>
      <c r="H18" s="112">
        <f t="shared" si="1"/>
        <v>4075.9745400000015</v>
      </c>
      <c r="I18" s="271">
        <f>H18*1.06</f>
        <v>4320.533012400002</v>
      </c>
      <c r="J18" s="271">
        <f>(I18*$M$12)+I18</f>
        <v>4579.764993144002</v>
      </c>
      <c r="K18" s="271">
        <f>(J18*$M$12)+J18</f>
        <v>4854.550892732642</v>
      </c>
      <c r="L18" s="271"/>
      <c r="M18" s="832">
        <f>(K18-J18)/J18</f>
        <v>0.05999999999999996</v>
      </c>
    </row>
    <row r="19" spans="1:13" ht="13.5" hidden="1">
      <c r="A19" s="20" t="s">
        <v>89</v>
      </c>
      <c r="B19" s="21">
        <v>3600</v>
      </c>
      <c r="C19" s="21">
        <f t="shared" si="4"/>
        <v>3960.0000000000005</v>
      </c>
      <c r="D19" s="66">
        <f t="shared" si="4"/>
        <v>4356.000000000001</v>
      </c>
      <c r="E19" s="66">
        <f>D19*1.1</f>
        <v>4791.600000000001</v>
      </c>
      <c r="F19" s="43">
        <f t="shared" si="2"/>
        <v>0.10000000000000006</v>
      </c>
      <c r="G19" s="112">
        <v>5537.172960000002</v>
      </c>
      <c r="H19" s="112">
        <f t="shared" si="1"/>
        <v>5869.4033376000025</v>
      </c>
      <c r="I19" s="271">
        <f>H19*1.06</f>
        <v>6221.567537856003</v>
      </c>
      <c r="J19" s="271">
        <f>(I19*$M$12)+I19</f>
        <v>6594.861590127362</v>
      </c>
      <c r="K19" s="271">
        <f t="shared" si="3"/>
        <v>6990.553285535004</v>
      </c>
      <c r="L19" s="271"/>
      <c r="M19" s="832">
        <f>(K19-J19)/J19</f>
        <v>0.05999999999999995</v>
      </c>
    </row>
    <row r="20" spans="1:13" ht="13.5" hidden="1">
      <c r="A20" s="20" t="s">
        <v>378</v>
      </c>
      <c r="B20" s="21">
        <v>7000</v>
      </c>
      <c r="C20" s="21">
        <f t="shared" si="4"/>
        <v>7700.000000000001</v>
      </c>
      <c r="D20" s="66">
        <f t="shared" si="4"/>
        <v>8470.000000000002</v>
      </c>
      <c r="E20" s="66">
        <f>D20*1.1</f>
        <v>9317.000000000004</v>
      </c>
      <c r="F20" s="43">
        <f t="shared" si="2"/>
        <v>0.1000000000000002</v>
      </c>
      <c r="G20" s="66">
        <v>10766.725200000004</v>
      </c>
      <c r="H20" s="66">
        <f t="shared" si="1"/>
        <v>11412.728712000006</v>
      </c>
      <c r="I20" s="271">
        <f>H20*1.06</f>
        <v>12097.492434720007</v>
      </c>
      <c r="J20" s="271">
        <f>(I20*$M$12)+I20</f>
        <v>12823.341980803207</v>
      </c>
      <c r="K20" s="271">
        <f t="shared" si="3"/>
        <v>13592.742499651398</v>
      </c>
      <c r="L20" s="271"/>
      <c r="M20" s="832">
        <f>(K20-J20)/J20</f>
        <v>0.05999999999999993</v>
      </c>
    </row>
    <row r="21" spans="1:13" ht="13.5" hidden="1">
      <c r="A21" s="20" t="s">
        <v>379</v>
      </c>
      <c r="B21" s="20" t="s">
        <v>380</v>
      </c>
      <c r="C21" s="21" t="s">
        <v>380</v>
      </c>
      <c r="D21" s="76" t="s">
        <v>380</v>
      </c>
      <c r="E21" s="76" t="s">
        <v>380</v>
      </c>
      <c r="F21" s="43">
        <v>0</v>
      </c>
      <c r="G21" s="23"/>
      <c r="H21" s="23"/>
      <c r="I21" s="271"/>
      <c r="J21" s="271"/>
      <c r="K21" s="271"/>
      <c r="L21" s="271"/>
      <c r="M21" s="832"/>
    </row>
    <row r="22" spans="4:13" ht="13.5" hidden="1">
      <c r="D22" s="66"/>
      <c r="E22" s="66"/>
      <c r="F22" s="43"/>
      <c r="I22" s="271"/>
      <c r="J22" s="271"/>
      <c r="K22" s="271"/>
      <c r="L22" s="271"/>
      <c r="M22" s="832"/>
    </row>
    <row r="23" spans="1:13" s="22" customFormat="1" ht="13.5" hidden="1">
      <c r="A23" s="22" t="s">
        <v>90</v>
      </c>
      <c r="C23" s="69"/>
      <c r="D23" s="66"/>
      <c r="E23" s="66"/>
      <c r="F23" s="43"/>
      <c r="G23" s="102"/>
      <c r="H23" s="102"/>
      <c r="I23" s="271"/>
      <c r="J23" s="271"/>
      <c r="K23" s="271"/>
      <c r="L23" s="271"/>
      <c r="M23" s="832"/>
    </row>
    <row r="24" spans="1:13" ht="13.5" hidden="1">
      <c r="A24" s="20" t="s">
        <v>91</v>
      </c>
      <c r="B24" s="21">
        <v>850</v>
      </c>
      <c r="C24" s="21">
        <f>B24*1.1</f>
        <v>935.0000000000001</v>
      </c>
      <c r="D24" s="66">
        <f aca="true" t="shared" si="5" ref="D24:E26">C24*1.1</f>
        <v>1028.5000000000002</v>
      </c>
      <c r="E24" s="66">
        <f t="shared" si="5"/>
        <v>1131.3500000000004</v>
      </c>
      <c r="F24" s="43">
        <f>(E24-D24)/D24</f>
        <v>0.10000000000000012</v>
      </c>
      <c r="G24" s="66">
        <v>1307.3880600000005</v>
      </c>
      <c r="H24" s="66">
        <f>G24*1.06</f>
        <v>1385.8313436000005</v>
      </c>
      <c r="I24" s="271" t="s">
        <v>47</v>
      </c>
      <c r="J24" s="271" t="s">
        <v>47</v>
      </c>
      <c r="K24" s="271"/>
      <c r="L24" s="271"/>
      <c r="M24" s="832" t="e">
        <f>(K24-J24)/J24</f>
        <v>#VALUE!</v>
      </c>
    </row>
    <row r="25" spans="1:13" ht="13.5" hidden="1">
      <c r="A25" s="20" t="s">
        <v>92</v>
      </c>
      <c r="B25" s="21">
        <v>600</v>
      </c>
      <c r="C25" s="21">
        <f>B25*1.1</f>
        <v>660</v>
      </c>
      <c r="D25" s="66">
        <f t="shared" si="5"/>
        <v>726.0000000000001</v>
      </c>
      <c r="E25" s="66">
        <f t="shared" si="5"/>
        <v>798.6000000000001</v>
      </c>
      <c r="F25" s="43">
        <f>(E25-D25)/D25</f>
        <v>0.10000000000000002</v>
      </c>
      <c r="G25" s="66">
        <v>922.8621600000002</v>
      </c>
      <c r="H25" s="66">
        <f>G25*1.06</f>
        <v>978.2338896000003</v>
      </c>
      <c r="I25" s="271">
        <f>H25*1.06</f>
        <v>1036.9279229760004</v>
      </c>
      <c r="J25" s="271">
        <f>(I25*$M$12)+I25</f>
        <v>1099.1435983545605</v>
      </c>
      <c r="K25" s="271">
        <f>(J25*$M$12)+J25</f>
        <v>1165.092214255834</v>
      </c>
      <c r="L25" s="271"/>
      <c r="M25" s="832">
        <f>(K25-J25)/J25</f>
        <v>0.05999999999999995</v>
      </c>
    </row>
    <row r="26" spans="1:13" ht="13.5" hidden="1">
      <c r="A26" s="20" t="s">
        <v>93</v>
      </c>
      <c r="B26" s="21">
        <v>2000</v>
      </c>
      <c r="C26" s="21">
        <f>B26*1.1</f>
        <v>2200</v>
      </c>
      <c r="D26" s="66">
        <f t="shared" si="5"/>
        <v>2420</v>
      </c>
      <c r="E26" s="66">
        <f t="shared" si="5"/>
        <v>2662</v>
      </c>
      <c r="F26" s="43">
        <f>(E26-D26)/D26</f>
        <v>0.1</v>
      </c>
      <c r="G26" s="66">
        <v>3076.2072000000003</v>
      </c>
      <c r="H26" s="66">
        <f>G26*1.06</f>
        <v>3260.7796320000007</v>
      </c>
      <c r="I26" s="271">
        <f>H26*1.06</f>
        <v>3456.426409920001</v>
      </c>
      <c r="J26" s="271">
        <f>(I26*$M$12)+I26</f>
        <v>3663.811994515201</v>
      </c>
      <c r="K26" s="271">
        <f>(J26*$M$12)+J26</f>
        <v>3883.640714186113</v>
      </c>
      <c r="L26" s="271"/>
      <c r="M26" s="832">
        <f>(K26-J26)/J26</f>
        <v>0.06</v>
      </c>
    </row>
    <row r="27" spans="2:13" ht="13.5" hidden="1">
      <c r="B27" s="70"/>
      <c r="C27" s="70"/>
      <c r="D27" s="70"/>
      <c r="E27" s="70"/>
      <c r="F27" s="43"/>
      <c r="I27" s="271"/>
      <c r="J27" s="271"/>
      <c r="K27" s="271"/>
      <c r="L27" s="271"/>
      <c r="M27" s="832"/>
    </row>
    <row r="28" spans="1:13" s="952" customFormat="1" ht="21.75" customHeight="1" hidden="1">
      <c r="A28" s="22" t="s">
        <v>788</v>
      </c>
      <c r="B28" s="413"/>
      <c r="C28" s="413"/>
      <c r="E28" s="414"/>
      <c r="G28" s="102"/>
      <c r="H28" s="102"/>
      <c r="I28" s="271"/>
      <c r="J28" s="271"/>
      <c r="K28" s="271"/>
      <c r="L28" s="271"/>
      <c r="M28" s="832"/>
    </row>
    <row r="29" spans="1:13" s="415" customFormat="1" ht="14.25" customHeight="1" hidden="1">
      <c r="A29" s="20" t="s">
        <v>789</v>
      </c>
      <c r="B29" s="413"/>
      <c r="C29" s="413" t="s">
        <v>47</v>
      </c>
      <c r="D29" s="21" t="s">
        <v>751</v>
      </c>
      <c r="E29" s="414">
        <v>80</v>
      </c>
      <c r="G29" s="112">
        <v>92.44800000000001</v>
      </c>
      <c r="H29" s="112">
        <f aca="true" t="shared" si="6" ref="H29:H35">G29*1.06</f>
        <v>97.99488000000001</v>
      </c>
      <c r="I29" s="271" t="s">
        <v>47</v>
      </c>
      <c r="J29" s="271" t="s">
        <v>47</v>
      </c>
      <c r="K29" s="271"/>
      <c r="L29" s="271"/>
      <c r="M29" s="832"/>
    </row>
    <row r="30" spans="1:13" s="415" customFormat="1" ht="15" customHeight="1" hidden="1">
      <c r="A30" s="20" t="s">
        <v>790</v>
      </c>
      <c r="B30" s="413"/>
      <c r="C30" s="413" t="s">
        <v>47</v>
      </c>
      <c r="D30" s="21" t="s">
        <v>751</v>
      </c>
      <c r="E30" s="414">
        <v>30</v>
      </c>
      <c r="G30" s="112">
        <v>34.668000000000006</v>
      </c>
      <c r="H30" s="112">
        <f t="shared" si="6"/>
        <v>36.74808000000001</v>
      </c>
      <c r="I30" s="271" t="s">
        <v>47</v>
      </c>
      <c r="J30" s="271" t="s">
        <v>47</v>
      </c>
      <c r="K30" s="271"/>
      <c r="L30" s="271"/>
      <c r="M30" s="832"/>
    </row>
    <row r="31" spans="1:13" s="415" customFormat="1" ht="13.5" hidden="1">
      <c r="A31" s="20" t="s">
        <v>140</v>
      </c>
      <c r="B31" s="413"/>
      <c r="C31" s="413" t="s">
        <v>47</v>
      </c>
      <c r="D31" s="21" t="s">
        <v>751</v>
      </c>
      <c r="E31" s="414">
        <v>20</v>
      </c>
      <c r="G31" s="112">
        <v>23.112000000000002</v>
      </c>
      <c r="H31" s="112">
        <f t="shared" si="6"/>
        <v>24.498720000000002</v>
      </c>
      <c r="I31" s="271" t="s">
        <v>47</v>
      </c>
      <c r="J31" s="271" t="s">
        <v>47</v>
      </c>
      <c r="K31" s="271"/>
      <c r="L31" s="271"/>
      <c r="M31" s="832"/>
    </row>
    <row r="32" spans="1:13" s="415" customFormat="1" ht="13.5" hidden="1">
      <c r="A32" s="20" t="s">
        <v>791</v>
      </c>
      <c r="B32" s="413"/>
      <c r="C32" s="413" t="s">
        <v>47</v>
      </c>
      <c r="D32" s="21" t="s">
        <v>751</v>
      </c>
      <c r="E32" s="414">
        <v>30</v>
      </c>
      <c r="G32" s="112">
        <v>34.668000000000006</v>
      </c>
      <c r="H32" s="112">
        <f t="shared" si="6"/>
        <v>36.74808000000001</v>
      </c>
      <c r="I32" s="271" t="s">
        <v>47</v>
      </c>
      <c r="J32" s="271" t="s">
        <v>47</v>
      </c>
      <c r="K32" s="271"/>
      <c r="L32" s="271"/>
      <c r="M32" s="832"/>
    </row>
    <row r="33" spans="1:13" s="415" customFormat="1" ht="13.5" hidden="1">
      <c r="A33" s="20" t="s">
        <v>792</v>
      </c>
      <c r="B33" s="413"/>
      <c r="C33" s="413" t="s">
        <v>47</v>
      </c>
      <c r="D33" s="21" t="s">
        <v>751</v>
      </c>
      <c r="E33" s="414">
        <v>450</v>
      </c>
      <c r="G33" s="112">
        <v>520.0200000000001</v>
      </c>
      <c r="H33" s="112">
        <f t="shared" si="6"/>
        <v>551.2212000000002</v>
      </c>
      <c r="I33" s="271" t="s">
        <v>47</v>
      </c>
      <c r="J33" s="271" t="s">
        <v>47</v>
      </c>
      <c r="K33" s="271"/>
      <c r="L33" s="271"/>
      <c r="M33" s="832"/>
    </row>
    <row r="34" spans="1:13" s="415" customFormat="1" ht="13.5" hidden="1">
      <c r="A34" s="20" t="s">
        <v>793</v>
      </c>
      <c r="B34" s="413"/>
      <c r="C34" s="413" t="s">
        <v>47</v>
      </c>
      <c r="D34" s="21" t="s">
        <v>751</v>
      </c>
      <c r="E34" s="414">
        <v>20</v>
      </c>
      <c r="G34" s="112">
        <v>23.112000000000002</v>
      </c>
      <c r="H34" s="112">
        <f t="shared" si="6"/>
        <v>24.498720000000002</v>
      </c>
      <c r="I34" s="271" t="s">
        <v>47</v>
      </c>
      <c r="J34" s="271" t="s">
        <v>47</v>
      </c>
      <c r="K34" s="271"/>
      <c r="L34" s="271"/>
      <c r="M34" s="832"/>
    </row>
    <row r="35" spans="1:13" s="415" customFormat="1" ht="13.5" hidden="1">
      <c r="A35" s="20" t="s">
        <v>805</v>
      </c>
      <c r="B35" s="414"/>
      <c r="C35" s="414"/>
      <c r="D35" s="21" t="s">
        <v>751</v>
      </c>
      <c r="E35" s="414" t="s">
        <v>751</v>
      </c>
      <c r="G35" s="112">
        <v>53.5</v>
      </c>
      <c r="H35" s="112">
        <f t="shared" si="6"/>
        <v>56.71</v>
      </c>
      <c r="I35" s="271" t="s">
        <v>47</v>
      </c>
      <c r="J35" s="271" t="s">
        <v>47</v>
      </c>
      <c r="K35" s="271"/>
      <c r="L35" s="271"/>
      <c r="M35" s="832"/>
    </row>
    <row r="36" spans="1:13" s="415" customFormat="1" ht="13.5" hidden="1">
      <c r="A36" s="20"/>
      <c r="B36" s="414"/>
      <c r="C36" s="414"/>
      <c r="D36" s="21"/>
      <c r="E36" s="414"/>
      <c r="G36" s="102"/>
      <c r="H36" s="102"/>
      <c r="I36" s="271"/>
      <c r="J36" s="271"/>
      <c r="K36" s="271"/>
      <c r="L36" s="271"/>
      <c r="M36" s="832"/>
    </row>
    <row r="37" spans="1:13" s="415" customFormat="1" ht="13.5" hidden="1">
      <c r="A37" s="22" t="s">
        <v>794</v>
      </c>
      <c r="B37" s="413"/>
      <c r="C37" s="413"/>
      <c r="D37" s="21"/>
      <c r="E37" s="414"/>
      <c r="G37" s="102"/>
      <c r="H37" s="102"/>
      <c r="I37" s="271"/>
      <c r="J37" s="271"/>
      <c r="K37" s="271"/>
      <c r="L37" s="271"/>
      <c r="M37" s="832"/>
    </row>
    <row r="38" spans="1:13" s="415" customFormat="1" ht="13.5" hidden="1">
      <c r="A38" s="20" t="s">
        <v>795</v>
      </c>
      <c r="B38" s="413"/>
      <c r="C38" s="413" t="s">
        <v>47</v>
      </c>
      <c r="D38" s="21" t="s">
        <v>751</v>
      </c>
      <c r="E38" s="414">
        <v>180</v>
      </c>
      <c r="G38" s="112">
        <v>208.008</v>
      </c>
      <c r="H38" s="112">
        <f>G38*1.06</f>
        <v>220.48848</v>
      </c>
      <c r="I38" s="271" t="s">
        <v>47</v>
      </c>
      <c r="J38" s="271" t="s">
        <v>47</v>
      </c>
      <c r="K38" s="271"/>
      <c r="L38" s="271"/>
      <c r="M38" s="832"/>
    </row>
    <row r="39" spans="1:13" s="415" customFormat="1" ht="13.5" hidden="1">
      <c r="A39" s="20" t="s">
        <v>796</v>
      </c>
      <c r="B39" s="413"/>
      <c r="C39" s="413" t="s">
        <v>47</v>
      </c>
      <c r="D39" s="21" t="s">
        <v>751</v>
      </c>
      <c r="E39" s="414">
        <v>190</v>
      </c>
      <c r="G39" s="112">
        <v>219.56400000000002</v>
      </c>
      <c r="H39" s="112">
        <f>G39*1.06</f>
        <v>232.73784000000003</v>
      </c>
      <c r="I39" s="271" t="s">
        <v>47</v>
      </c>
      <c r="J39" s="271" t="s">
        <v>47</v>
      </c>
      <c r="K39" s="271"/>
      <c r="L39" s="271"/>
      <c r="M39" s="832"/>
    </row>
    <row r="40" spans="1:13" s="415" customFormat="1" ht="13.5" hidden="1">
      <c r="A40" s="20" t="s">
        <v>797</v>
      </c>
      <c r="B40" s="413"/>
      <c r="C40" s="413" t="s">
        <v>47</v>
      </c>
      <c r="D40" s="21" t="s">
        <v>751</v>
      </c>
      <c r="E40" s="414">
        <v>210</v>
      </c>
      <c r="G40" s="112">
        <v>242.67600000000002</v>
      </c>
      <c r="H40" s="112">
        <f>G40*1.06</f>
        <v>257.23656000000005</v>
      </c>
      <c r="I40" s="271" t="s">
        <v>47</v>
      </c>
      <c r="J40" s="271" t="s">
        <v>47</v>
      </c>
      <c r="K40" s="271"/>
      <c r="L40" s="271"/>
      <c r="M40" s="832"/>
    </row>
    <row r="41" spans="1:13" s="415" customFormat="1" ht="13.5" hidden="1">
      <c r="A41" s="20" t="s">
        <v>798</v>
      </c>
      <c r="B41" s="413"/>
      <c r="C41" s="413"/>
      <c r="D41" s="21"/>
      <c r="E41" s="414"/>
      <c r="G41" s="102"/>
      <c r="H41" s="102"/>
      <c r="I41" s="271"/>
      <c r="J41" s="271"/>
      <c r="K41" s="271"/>
      <c r="L41" s="271"/>
      <c r="M41" s="832"/>
    </row>
    <row r="42" spans="1:13" s="415" customFormat="1" ht="13.5" hidden="1">
      <c r="A42" s="20" t="s">
        <v>806</v>
      </c>
      <c r="B42" s="413"/>
      <c r="C42" s="413"/>
      <c r="D42" s="21" t="s">
        <v>751</v>
      </c>
      <c r="E42" s="414" t="s">
        <v>751</v>
      </c>
      <c r="G42" s="102"/>
      <c r="H42" s="102"/>
      <c r="I42" s="271"/>
      <c r="J42" s="271"/>
      <c r="K42" s="271"/>
      <c r="L42" s="271"/>
      <c r="M42" s="832"/>
    </row>
    <row r="43" spans="1:13" s="415" customFormat="1" ht="13.5" hidden="1">
      <c r="A43" s="20" t="s">
        <v>799</v>
      </c>
      <c r="B43" s="413"/>
      <c r="C43" s="413" t="s">
        <v>47</v>
      </c>
      <c r="D43" s="21" t="s">
        <v>751</v>
      </c>
      <c r="E43" s="414">
        <v>60</v>
      </c>
      <c r="G43" s="112">
        <v>69.33600000000001</v>
      </c>
      <c r="H43" s="112">
        <f>G43*1.06</f>
        <v>73.49616000000002</v>
      </c>
      <c r="I43" s="271" t="s">
        <v>47</v>
      </c>
      <c r="J43" s="271" t="s">
        <v>47</v>
      </c>
      <c r="K43" s="271"/>
      <c r="L43" s="271"/>
      <c r="M43" s="832"/>
    </row>
    <row r="44" spans="1:13" s="415" customFormat="1" ht="13.5" hidden="1">
      <c r="A44" s="20" t="s">
        <v>800</v>
      </c>
      <c r="B44" s="413"/>
      <c r="C44" s="413" t="s">
        <v>47</v>
      </c>
      <c r="D44" s="21" t="s">
        <v>751</v>
      </c>
      <c r="E44" s="414">
        <v>60</v>
      </c>
      <c r="G44" s="112">
        <v>69.33600000000001</v>
      </c>
      <c r="H44" s="112">
        <f>G44*1.06</f>
        <v>73.49616000000002</v>
      </c>
      <c r="I44" s="271" t="s">
        <v>47</v>
      </c>
      <c r="J44" s="271" t="s">
        <v>47</v>
      </c>
      <c r="K44" s="271"/>
      <c r="L44" s="271"/>
      <c r="M44" s="832"/>
    </row>
    <row r="45" spans="1:13" s="415" customFormat="1" ht="13.5" hidden="1">
      <c r="A45" s="20"/>
      <c r="B45" s="413"/>
      <c r="C45" s="413"/>
      <c r="D45" s="21"/>
      <c r="E45" s="414"/>
      <c r="G45" s="102"/>
      <c r="H45" s="102"/>
      <c r="I45" s="271"/>
      <c r="J45" s="271"/>
      <c r="K45" s="271"/>
      <c r="L45" s="271"/>
      <c r="M45" s="832"/>
    </row>
    <row r="46" spans="1:13" s="415" customFormat="1" ht="13.5" hidden="1">
      <c r="A46" s="22" t="s">
        <v>986</v>
      </c>
      <c r="B46" s="413"/>
      <c r="C46" s="413"/>
      <c r="D46" s="21"/>
      <c r="E46" s="414"/>
      <c r="G46" s="102"/>
      <c r="H46" s="102"/>
      <c r="I46" s="271"/>
      <c r="J46" s="271"/>
      <c r="K46" s="271"/>
      <c r="L46" s="271"/>
      <c r="M46" s="832"/>
    </row>
    <row r="47" spans="1:13" s="415" customFormat="1" ht="13.5" hidden="1">
      <c r="A47" s="20" t="s">
        <v>801</v>
      </c>
      <c r="B47" s="413"/>
      <c r="C47" s="413" t="s">
        <v>47</v>
      </c>
      <c r="D47" s="21" t="s">
        <v>751</v>
      </c>
      <c r="E47" s="414">
        <v>950</v>
      </c>
      <c r="G47" s="112">
        <v>1097.8200000000002</v>
      </c>
      <c r="H47" s="112">
        <f>G47*1.06</f>
        <v>1163.6892000000003</v>
      </c>
      <c r="I47" s="271" t="s">
        <v>47</v>
      </c>
      <c r="J47" s="271" t="s">
        <v>47</v>
      </c>
      <c r="K47" s="271"/>
      <c r="L47" s="271"/>
      <c r="M47" s="832" t="e">
        <f>(K47-J47)/J47</f>
        <v>#VALUE!</v>
      </c>
    </row>
    <row r="48" spans="1:13" s="415" customFormat="1" ht="13.5" hidden="1">
      <c r="A48" s="20" t="s">
        <v>789</v>
      </c>
      <c r="B48" s="413"/>
      <c r="C48" s="413" t="s">
        <v>47</v>
      </c>
      <c r="D48" s="21" t="s">
        <v>751</v>
      </c>
      <c r="E48" s="414">
        <v>30</v>
      </c>
      <c r="G48" s="112">
        <v>34.668000000000006</v>
      </c>
      <c r="H48" s="112">
        <f>G48*1.06</f>
        <v>36.74808000000001</v>
      </c>
      <c r="I48" s="271" t="s">
        <v>47</v>
      </c>
      <c r="J48" s="271" t="s">
        <v>47</v>
      </c>
      <c r="K48" s="271"/>
      <c r="L48" s="271"/>
      <c r="M48" s="832" t="e">
        <f>(K48-J48)/J48</f>
        <v>#VALUE!</v>
      </c>
    </row>
    <row r="49" spans="1:13" s="415" customFormat="1" ht="13.5" hidden="1">
      <c r="A49" s="20" t="s">
        <v>790</v>
      </c>
      <c r="B49" s="413"/>
      <c r="C49" s="413" t="s">
        <v>47</v>
      </c>
      <c r="D49" s="21" t="s">
        <v>751</v>
      </c>
      <c r="E49" s="414">
        <v>15</v>
      </c>
      <c r="G49" s="112">
        <v>17.334000000000003</v>
      </c>
      <c r="H49" s="112">
        <f>G49*1.06</f>
        <v>18.374040000000004</v>
      </c>
      <c r="I49" s="271" t="s">
        <v>47</v>
      </c>
      <c r="J49" s="271" t="s">
        <v>47</v>
      </c>
      <c r="K49" s="271"/>
      <c r="L49" s="271"/>
      <c r="M49" s="832" t="e">
        <f>(K49-J49)/J49</f>
        <v>#VALUE!</v>
      </c>
    </row>
    <row r="50" spans="1:15" s="415" customFormat="1" ht="13.5" hidden="1">
      <c r="A50" s="20" t="s">
        <v>383</v>
      </c>
      <c r="B50" s="21">
        <v>2300</v>
      </c>
      <c r="C50" s="21">
        <f aca="true" t="shared" si="7" ref="C50:E51">B50*1.1</f>
        <v>2530</v>
      </c>
      <c r="D50" s="66">
        <f t="shared" si="7"/>
        <v>2783</v>
      </c>
      <c r="E50" s="66">
        <f t="shared" si="7"/>
        <v>3061.3</v>
      </c>
      <c r="F50" s="43">
        <f>(E50-D50)/D50</f>
        <v>0.10000000000000006</v>
      </c>
      <c r="G50" s="66">
        <v>3537.638280000001</v>
      </c>
      <c r="H50" s="66">
        <f>G50*1.06</f>
        <v>3749.896576800001</v>
      </c>
      <c r="I50" s="271">
        <f>H50*1.06</f>
        <v>3974.8903714080016</v>
      </c>
      <c r="J50" s="271">
        <v>4213.383793692482</v>
      </c>
      <c r="K50" s="271">
        <f>(J50*$M$12)+J50</f>
        <v>4466.186821314031</v>
      </c>
      <c r="L50" s="271"/>
      <c r="M50" s="832">
        <f>(K50-J50)/J50</f>
        <v>0.05999999999999993</v>
      </c>
      <c r="O50" s="991"/>
    </row>
    <row r="51" spans="1:15" s="415" customFormat="1" ht="13.5" hidden="1">
      <c r="A51" s="20" t="s">
        <v>381</v>
      </c>
      <c r="B51" s="21">
        <v>1150</v>
      </c>
      <c r="C51" s="21">
        <f t="shared" si="7"/>
        <v>1265</v>
      </c>
      <c r="D51" s="66">
        <f t="shared" si="7"/>
        <v>1391.5</v>
      </c>
      <c r="E51" s="66">
        <f t="shared" si="7"/>
        <v>1530.65</v>
      </c>
      <c r="F51" s="43">
        <f>(E51-D51)/D51</f>
        <v>0.10000000000000006</v>
      </c>
      <c r="G51" s="66">
        <v>1768.8191400000005</v>
      </c>
      <c r="H51" s="66">
        <f>G51*1.06</f>
        <v>1874.9482884000006</v>
      </c>
      <c r="I51" s="271">
        <f>H51*1.06</f>
        <v>1987.4451857040008</v>
      </c>
      <c r="J51" s="271">
        <v>2106.691896846241</v>
      </c>
      <c r="K51" s="271">
        <f>(J51*$M$12)+J51</f>
        <v>2233.0934106570153</v>
      </c>
      <c r="L51" s="271"/>
      <c r="M51" s="832">
        <f>(K51-J51)/J51</f>
        <v>0.05999999999999993</v>
      </c>
      <c r="O51" s="991"/>
    </row>
    <row r="52" spans="1:15" s="415" customFormat="1" ht="13.5" hidden="1">
      <c r="A52" s="20" t="s">
        <v>382</v>
      </c>
      <c r="B52" s="70">
        <v>0</v>
      </c>
      <c r="C52" s="70">
        <f>B52*1.1</f>
        <v>0</v>
      </c>
      <c r="D52" s="70">
        <f>C52*1.12</f>
        <v>0</v>
      </c>
      <c r="E52" s="70">
        <f>D52*1.12</f>
        <v>0</v>
      </c>
      <c r="F52" s="43">
        <v>0</v>
      </c>
      <c r="G52" s="21"/>
      <c r="H52" s="21">
        <v>0</v>
      </c>
      <c r="I52" s="271">
        <v>0</v>
      </c>
      <c r="J52" s="271">
        <v>0</v>
      </c>
      <c r="K52" s="271">
        <f>(J52*$M$12)+J52</f>
        <v>0</v>
      </c>
      <c r="L52" s="271"/>
      <c r="M52" s="832"/>
      <c r="O52" s="991"/>
    </row>
    <row r="53" spans="2:13" ht="13.5" hidden="1">
      <c r="B53" s="70"/>
      <c r="C53" s="70"/>
      <c r="D53" s="66"/>
      <c r="E53" s="66"/>
      <c r="F53" s="43"/>
      <c r="I53" s="271"/>
      <c r="J53" s="271"/>
      <c r="K53" s="271"/>
      <c r="L53" s="271"/>
      <c r="M53" s="832"/>
    </row>
    <row r="54" spans="1:13" s="22" customFormat="1" ht="13.5" hidden="1">
      <c r="A54" s="22" t="s">
        <v>94</v>
      </c>
      <c r="C54" s="69"/>
      <c r="D54" s="66"/>
      <c r="E54" s="66"/>
      <c r="F54" s="43"/>
      <c r="G54" s="102"/>
      <c r="H54" s="102"/>
      <c r="I54" s="271"/>
      <c r="J54" s="271"/>
      <c r="K54" s="271"/>
      <c r="L54" s="271"/>
      <c r="M54" s="832"/>
    </row>
    <row r="55" spans="1:14" ht="54" hidden="1">
      <c r="A55" s="20" t="s">
        <v>95</v>
      </c>
      <c r="B55" s="49" t="s">
        <v>384</v>
      </c>
      <c r="C55" s="49" t="s">
        <v>384</v>
      </c>
      <c r="D55" s="49" t="s">
        <v>384</v>
      </c>
      <c r="E55" s="49" t="s">
        <v>757</v>
      </c>
      <c r="F55" s="49" t="s">
        <v>757</v>
      </c>
      <c r="G55" s="49" t="s">
        <v>827</v>
      </c>
      <c r="H55" s="49" t="s">
        <v>922</v>
      </c>
      <c r="I55" s="285" t="s">
        <v>972</v>
      </c>
      <c r="J55" s="286" t="s">
        <v>1076</v>
      </c>
      <c r="K55" s="286" t="s">
        <v>1074</v>
      </c>
      <c r="L55" s="286"/>
      <c r="M55" s="832">
        <v>0.06</v>
      </c>
      <c r="N55" s="21">
        <f>8316</f>
        <v>8316</v>
      </c>
    </row>
    <row r="56" spans="4:13" ht="13.5" hidden="1">
      <c r="D56" s="66"/>
      <c r="E56" s="66"/>
      <c r="F56" s="43"/>
      <c r="I56" s="271"/>
      <c r="J56" s="271"/>
      <c r="K56" s="271"/>
      <c r="L56" s="271"/>
      <c r="M56" s="832"/>
    </row>
    <row r="57" spans="4:13" ht="13.5" hidden="1">
      <c r="D57" s="66"/>
      <c r="E57" s="66"/>
      <c r="F57" s="43"/>
      <c r="I57" s="271"/>
      <c r="J57" s="271"/>
      <c r="K57" s="271"/>
      <c r="L57" s="271"/>
      <c r="M57" s="832"/>
    </row>
    <row r="58" spans="1:14" ht="54" hidden="1">
      <c r="A58" s="20" t="s">
        <v>96</v>
      </c>
      <c r="B58" s="49" t="s">
        <v>385</v>
      </c>
      <c r="C58" s="49" t="s">
        <v>385</v>
      </c>
      <c r="D58" s="49" t="s">
        <v>385</v>
      </c>
      <c r="E58" s="49" t="s">
        <v>758</v>
      </c>
      <c r="F58" s="43">
        <v>0.1</v>
      </c>
      <c r="G58" s="104" t="s">
        <v>828</v>
      </c>
      <c r="H58" s="104" t="s">
        <v>923</v>
      </c>
      <c r="I58" s="285" t="s">
        <v>973</v>
      </c>
      <c r="J58" s="286" t="s">
        <v>1039</v>
      </c>
      <c r="K58" s="286" t="s">
        <v>1075</v>
      </c>
      <c r="L58" s="286"/>
      <c r="M58" s="832">
        <v>0.06</v>
      </c>
      <c r="N58" s="20">
        <f>7128</f>
        <v>7128</v>
      </c>
    </row>
    <row r="59" spans="1:13" ht="13.5" hidden="1">
      <c r="A59" s="20" t="s">
        <v>386</v>
      </c>
      <c r="B59" s="21">
        <v>30</v>
      </c>
      <c r="C59" s="21">
        <f>B59*1.1</f>
        <v>33</v>
      </c>
      <c r="D59" s="66">
        <f>C59*1.1</f>
        <v>36.300000000000004</v>
      </c>
      <c r="E59" s="66">
        <f>D59*1.1</f>
        <v>39.93000000000001</v>
      </c>
      <c r="F59" s="43">
        <f>(E59-D59)/D59</f>
        <v>0.10000000000000006</v>
      </c>
      <c r="G59" s="112">
        <v>46.14310800000001</v>
      </c>
      <c r="H59" s="112">
        <f>G59*1.06</f>
        <v>48.911694480000016</v>
      </c>
      <c r="I59" s="271">
        <f>H59*1.06</f>
        <v>51.84639614880002</v>
      </c>
      <c r="J59" s="271">
        <v>54.95717991772802</v>
      </c>
      <c r="K59" s="271">
        <f>(J59*$M$12)+J59</f>
        <v>58.2546107127917</v>
      </c>
      <c r="L59" s="271"/>
      <c r="M59" s="832">
        <f>(K59-J59)/J59</f>
        <v>0.060000000000000026</v>
      </c>
    </row>
    <row r="60" spans="4:13" ht="13.5" hidden="1">
      <c r="D60" s="66"/>
      <c r="E60" s="66"/>
      <c r="F60" s="43"/>
      <c r="I60" s="271"/>
      <c r="J60" s="271"/>
      <c r="K60" s="271"/>
      <c r="L60" s="271"/>
      <c r="M60" s="832"/>
    </row>
    <row r="61" spans="1:14" ht="64.5" customHeight="1" hidden="1">
      <c r="A61" s="22" t="s">
        <v>97</v>
      </c>
      <c r="B61" s="49" t="s">
        <v>98</v>
      </c>
      <c r="C61" s="49" t="s">
        <v>387</v>
      </c>
      <c r="D61" s="49" t="s">
        <v>387</v>
      </c>
      <c r="E61" s="49" t="s">
        <v>759</v>
      </c>
      <c r="F61" s="43">
        <v>0.1</v>
      </c>
      <c r="G61" s="104" t="s">
        <v>829</v>
      </c>
      <c r="H61" s="104" t="s">
        <v>925</v>
      </c>
      <c r="I61" s="285" t="s">
        <v>974</v>
      </c>
      <c r="J61" s="286" t="s">
        <v>1040</v>
      </c>
      <c r="K61" s="286" t="s">
        <v>1077</v>
      </c>
      <c r="L61" s="286"/>
      <c r="M61" s="832">
        <v>0.06</v>
      </c>
      <c r="N61" s="102">
        <f>1387</f>
        <v>1387</v>
      </c>
    </row>
    <row r="62" spans="4:13" ht="13.5" hidden="1">
      <c r="D62" s="66"/>
      <c r="E62" s="66"/>
      <c r="F62" s="43"/>
      <c r="I62" s="271"/>
      <c r="J62" s="271"/>
      <c r="K62" s="271"/>
      <c r="L62" s="271"/>
      <c r="M62" s="832"/>
    </row>
    <row r="63" spans="1:14" ht="38.25" customHeight="1" hidden="1">
      <c r="A63" s="20" t="s">
        <v>388</v>
      </c>
      <c r="B63" s="49" t="s">
        <v>99</v>
      </c>
      <c r="C63" s="49" t="s">
        <v>99</v>
      </c>
      <c r="D63" s="49" t="s">
        <v>530</v>
      </c>
      <c r="E63" s="49" t="s">
        <v>760</v>
      </c>
      <c r="F63" s="43">
        <v>0.1</v>
      </c>
      <c r="G63" s="104" t="s">
        <v>830</v>
      </c>
      <c r="H63" s="104" t="s">
        <v>936</v>
      </c>
      <c r="I63" s="285" t="s">
        <v>975</v>
      </c>
      <c r="J63" s="286" t="s">
        <v>1046</v>
      </c>
      <c r="K63" s="286" t="s">
        <v>1078</v>
      </c>
      <c r="L63" s="286"/>
      <c r="M63" s="832">
        <v>0.06</v>
      </c>
      <c r="N63" s="20">
        <f>142.46</f>
        <v>142.46</v>
      </c>
    </row>
    <row r="64" spans="4:13" ht="13.5" hidden="1">
      <c r="D64" s="66"/>
      <c r="E64" s="66"/>
      <c r="F64" s="43"/>
      <c r="I64" s="271"/>
      <c r="J64" s="271"/>
      <c r="K64" s="271"/>
      <c r="L64" s="271"/>
      <c r="M64" s="832"/>
    </row>
    <row r="65" spans="1:13" ht="13.5" hidden="1">
      <c r="A65" s="22" t="s">
        <v>116</v>
      </c>
      <c r="D65" s="66"/>
      <c r="E65" s="66"/>
      <c r="F65" s="43" t="e">
        <f aca="true" t="shared" si="8" ref="F65:F73">(C65-B65)/B65</f>
        <v>#DIV/0!</v>
      </c>
      <c r="I65" s="271"/>
      <c r="J65" s="271"/>
      <c r="K65" s="271"/>
      <c r="L65" s="271"/>
      <c r="M65" s="832" t="e">
        <f aca="true" t="shared" si="9" ref="M65:M73">(K65-J65)/J65</f>
        <v>#DIV/0!</v>
      </c>
    </row>
    <row r="66" spans="1:13" ht="13.5" hidden="1">
      <c r="A66" s="20" t="s">
        <v>117</v>
      </c>
      <c r="B66" s="21">
        <v>27.200448</v>
      </c>
      <c r="D66" s="66"/>
      <c r="E66" s="66"/>
      <c r="F66" s="43">
        <f t="shared" si="8"/>
        <v>-1</v>
      </c>
      <c r="I66" s="271"/>
      <c r="J66" s="271"/>
      <c r="K66" s="271"/>
      <c r="L66" s="271"/>
      <c r="M66" s="832" t="e">
        <f t="shared" si="9"/>
        <v>#DIV/0!</v>
      </c>
    </row>
    <row r="67" spans="1:13" ht="13.5" hidden="1">
      <c r="A67" s="20" t="s">
        <v>118</v>
      </c>
      <c r="B67" s="21">
        <v>18.54576</v>
      </c>
      <c r="D67" s="66"/>
      <c r="E67" s="66"/>
      <c r="F67" s="43">
        <f t="shared" si="8"/>
        <v>-1</v>
      </c>
      <c r="I67" s="271"/>
      <c r="J67" s="271"/>
      <c r="K67" s="271"/>
      <c r="L67" s="271"/>
      <c r="M67" s="832" t="e">
        <f t="shared" si="9"/>
        <v>#DIV/0!</v>
      </c>
    </row>
    <row r="68" spans="1:13" ht="13.5" hidden="1">
      <c r="A68" s="20" t="s">
        <v>119</v>
      </c>
      <c r="B68" s="21">
        <v>8.654688</v>
      </c>
      <c r="D68" s="66"/>
      <c r="E68" s="66"/>
      <c r="F68" s="43">
        <f t="shared" si="8"/>
        <v>-1</v>
      </c>
      <c r="I68" s="271"/>
      <c r="J68" s="271"/>
      <c r="K68" s="271"/>
      <c r="L68" s="271"/>
      <c r="M68" s="832" t="e">
        <f t="shared" si="9"/>
        <v>#DIV/0!</v>
      </c>
    </row>
    <row r="69" spans="1:13" ht="13.5" hidden="1">
      <c r="A69" s="20" t="s">
        <v>120</v>
      </c>
      <c r="B69" s="20">
        <v>0</v>
      </c>
      <c r="D69" s="66"/>
      <c r="E69" s="66"/>
      <c r="F69" s="43" t="e">
        <f t="shared" si="8"/>
        <v>#DIV/0!</v>
      </c>
      <c r="I69" s="271"/>
      <c r="J69" s="271"/>
      <c r="K69" s="271"/>
      <c r="L69" s="271"/>
      <c r="M69" s="832" t="e">
        <f t="shared" si="9"/>
        <v>#DIV/0!</v>
      </c>
    </row>
    <row r="70" spans="1:13" ht="13.5" hidden="1">
      <c r="A70" s="20" t="s">
        <v>117</v>
      </c>
      <c r="B70" s="21">
        <v>24.727680000000007</v>
      </c>
      <c r="D70" s="66"/>
      <c r="E70" s="66"/>
      <c r="F70" s="43">
        <f t="shared" si="8"/>
        <v>-1</v>
      </c>
      <c r="I70" s="271"/>
      <c r="J70" s="271"/>
      <c r="K70" s="271"/>
      <c r="L70" s="271"/>
      <c r="M70" s="832" t="e">
        <f t="shared" si="9"/>
        <v>#DIV/0!</v>
      </c>
    </row>
    <row r="71" spans="1:13" ht="13.5" hidden="1">
      <c r="A71" s="20" t="s">
        <v>118</v>
      </c>
      <c r="B71" s="21">
        <v>19.782144000000002</v>
      </c>
      <c r="D71" s="66"/>
      <c r="E71" s="66"/>
      <c r="F71" s="43">
        <f t="shared" si="8"/>
        <v>-1</v>
      </c>
      <c r="I71" s="271"/>
      <c r="J71" s="271"/>
      <c r="K71" s="271"/>
      <c r="L71" s="271"/>
      <c r="M71" s="832" t="e">
        <f t="shared" si="9"/>
        <v>#DIV/0!</v>
      </c>
    </row>
    <row r="72" spans="1:13" ht="13.5" hidden="1">
      <c r="A72" s="20" t="s">
        <v>119</v>
      </c>
      <c r="B72" s="21">
        <v>15.454800000000002</v>
      </c>
      <c r="D72" s="66"/>
      <c r="E72" s="66"/>
      <c r="F72" s="43">
        <f t="shared" si="8"/>
        <v>-1</v>
      </c>
      <c r="I72" s="271"/>
      <c r="J72" s="271"/>
      <c r="K72" s="271"/>
      <c r="L72" s="271"/>
      <c r="M72" s="832" t="e">
        <f t="shared" si="9"/>
        <v>#DIV/0!</v>
      </c>
    </row>
    <row r="73" spans="4:13" ht="13.5" hidden="1">
      <c r="D73" s="66"/>
      <c r="E73" s="66"/>
      <c r="F73" s="43" t="e">
        <f t="shared" si="8"/>
        <v>#DIV/0!</v>
      </c>
      <c r="I73" s="271"/>
      <c r="J73" s="271"/>
      <c r="K73" s="271"/>
      <c r="L73" s="271"/>
      <c r="M73" s="832" t="e">
        <f t="shared" si="9"/>
        <v>#DIV/0!</v>
      </c>
    </row>
    <row r="74" spans="1:13" s="22" customFormat="1" ht="13.5" hidden="1">
      <c r="A74" s="22" t="s">
        <v>121</v>
      </c>
      <c r="C74" s="69"/>
      <c r="D74" s="66"/>
      <c r="E74" s="66"/>
      <c r="F74" s="43"/>
      <c r="G74" s="102"/>
      <c r="H74" s="102"/>
      <c r="I74" s="271"/>
      <c r="J74" s="271"/>
      <c r="K74" s="271"/>
      <c r="L74" s="271"/>
      <c r="M74" s="832"/>
    </row>
    <row r="75" spans="1:13" ht="13.5" hidden="1">
      <c r="A75" s="20" t="s">
        <v>122</v>
      </c>
      <c r="B75" s="21">
        <v>500</v>
      </c>
      <c r="C75" s="21">
        <f aca="true" t="shared" si="10" ref="C75:D78">B75*1.1</f>
        <v>550</v>
      </c>
      <c r="D75" s="66">
        <f t="shared" si="10"/>
        <v>605</v>
      </c>
      <c r="E75" s="66">
        <f>D75*1.1</f>
        <v>665.5</v>
      </c>
      <c r="F75" s="43">
        <f>(E75-D75)/D75</f>
        <v>0.1</v>
      </c>
      <c r="G75" s="112">
        <v>769.0518000000001</v>
      </c>
      <c r="H75" s="112">
        <f aca="true" t="shared" si="11" ref="H75:I78">G75*1.06</f>
        <v>815.1949080000002</v>
      </c>
      <c r="I75" s="271">
        <f t="shared" si="11"/>
        <v>864.1066024800002</v>
      </c>
      <c r="J75" s="271">
        <f aca="true" t="shared" si="12" ref="J75:K78">(I75*$M$12)+I75</f>
        <v>915.9529986288003</v>
      </c>
      <c r="K75" s="271">
        <f t="shared" si="12"/>
        <v>970.9101785465283</v>
      </c>
      <c r="L75" s="271"/>
      <c r="M75" s="832">
        <f>(K75-J75)/J75</f>
        <v>0.06</v>
      </c>
    </row>
    <row r="76" spans="1:13" ht="13.5" hidden="1">
      <c r="A76" s="20" t="s">
        <v>123</v>
      </c>
      <c r="B76" s="21">
        <v>1000</v>
      </c>
      <c r="C76" s="21">
        <f t="shared" si="10"/>
        <v>1100</v>
      </c>
      <c r="D76" s="66">
        <f t="shared" si="10"/>
        <v>1210</v>
      </c>
      <c r="E76" s="66">
        <f>D76*1.1</f>
        <v>1331</v>
      </c>
      <c r="F76" s="43">
        <f>(E76-D76)/D76</f>
        <v>0.1</v>
      </c>
      <c r="G76" s="66">
        <v>1538.1036000000001</v>
      </c>
      <c r="H76" s="66">
        <f t="shared" si="11"/>
        <v>1630.3898160000003</v>
      </c>
      <c r="I76" s="271">
        <f t="shared" si="11"/>
        <v>1728.2132049600004</v>
      </c>
      <c r="J76" s="271">
        <f t="shared" si="12"/>
        <v>1831.9059972576006</v>
      </c>
      <c r="K76" s="271">
        <f t="shared" si="12"/>
        <v>1941.8203570930566</v>
      </c>
      <c r="L76" s="271"/>
      <c r="M76" s="832">
        <f>(K76-J76)/J76</f>
        <v>0.06</v>
      </c>
    </row>
    <row r="77" spans="1:13" ht="13.5" hidden="1">
      <c r="A77" s="20" t="s">
        <v>124</v>
      </c>
      <c r="B77" s="21">
        <v>1500</v>
      </c>
      <c r="C77" s="21">
        <f t="shared" si="10"/>
        <v>1650.0000000000002</v>
      </c>
      <c r="D77" s="66">
        <f t="shared" si="10"/>
        <v>1815.0000000000005</v>
      </c>
      <c r="E77" s="66">
        <f>D77*1.1</f>
        <v>1996.5000000000007</v>
      </c>
      <c r="F77" s="43">
        <f>(E77-D77)/D77</f>
        <v>0.1000000000000001</v>
      </c>
      <c r="G77" s="66">
        <v>2307.155400000001</v>
      </c>
      <c r="H77" s="66">
        <f t="shared" si="11"/>
        <v>2445.584724000001</v>
      </c>
      <c r="I77" s="271">
        <f t="shared" si="11"/>
        <v>2592.3198074400016</v>
      </c>
      <c r="J77" s="271">
        <f t="shared" si="12"/>
        <v>2747.8589958864018</v>
      </c>
      <c r="K77" s="271">
        <f t="shared" si="12"/>
        <v>2912.730535639586</v>
      </c>
      <c r="L77" s="271"/>
      <c r="M77" s="832">
        <f>(K77-J77)/J77</f>
        <v>0.06000000000000002</v>
      </c>
    </row>
    <row r="78" spans="1:13" ht="13.5" hidden="1">
      <c r="A78" s="20" t="s">
        <v>125</v>
      </c>
      <c r="B78" s="21">
        <v>2000</v>
      </c>
      <c r="C78" s="21">
        <f t="shared" si="10"/>
        <v>2200</v>
      </c>
      <c r="D78" s="66">
        <f t="shared" si="10"/>
        <v>2420</v>
      </c>
      <c r="E78" s="66">
        <f>D78*1.1</f>
        <v>2662</v>
      </c>
      <c r="F78" s="43">
        <f>(E78-D78)/D78</f>
        <v>0.1</v>
      </c>
      <c r="G78" s="66">
        <v>3076.2072000000003</v>
      </c>
      <c r="H78" s="66">
        <f t="shared" si="11"/>
        <v>3260.7796320000007</v>
      </c>
      <c r="I78" s="271">
        <f t="shared" si="11"/>
        <v>3456.426409920001</v>
      </c>
      <c r="J78" s="271">
        <f t="shared" si="12"/>
        <v>3663.811994515201</v>
      </c>
      <c r="K78" s="271">
        <f t="shared" si="12"/>
        <v>3883.640714186113</v>
      </c>
      <c r="L78" s="271"/>
      <c r="M78" s="832">
        <f>(K78-J78)/J78</f>
        <v>0.06</v>
      </c>
    </row>
    <row r="79" spans="2:13" ht="13.5" hidden="1">
      <c r="B79" s="21"/>
      <c r="D79" s="66"/>
      <c r="E79" s="66"/>
      <c r="F79" s="43"/>
      <c r="G79" s="66"/>
      <c r="H79" s="66"/>
      <c r="I79" s="271"/>
      <c r="J79" s="271"/>
      <c r="K79" s="271"/>
      <c r="L79" s="271"/>
      <c r="M79" s="832"/>
    </row>
    <row r="80" spans="1:13" ht="13.5" hidden="1">
      <c r="A80" s="22" t="s">
        <v>987</v>
      </c>
      <c r="B80" s="21"/>
      <c r="D80" s="66"/>
      <c r="E80" s="66"/>
      <c r="F80" s="43"/>
      <c r="G80" s="66"/>
      <c r="H80" s="66"/>
      <c r="I80" s="271"/>
      <c r="J80" s="271"/>
      <c r="K80" s="271"/>
      <c r="L80" s="271"/>
      <c r="M80" s="832"/>
    </row>
    <row r="81" spans="1:15" ht="13.5" hidden="1">
      <c r="A81" s="275" t="s">
        <v>1013</v>
      </c>
      <c r="B81" s="21"/>
      <c r="D81" s="66"/>
      <c r="E81" s="66"/>
      <c r="F81" s="43"/>
      <c r="G81" s="66"/>
      <c r="H81" s="66">
        <v>40.69627120357968</v>
      </c>
      <c r="I81" s="271">
        <f>H81*1.06</f>
        <v>43.13804747579446</v>
      </c>
      <c r="J81" s="271">
        <f aca="true" t="shared" si="13" ref="J81:K84">(I81*$M$12)+I81</f>
        <v>45.72633032434213</v>
      </c>
      <c r="K81" s="271">
        <f t="shared" si="13"/>
        <v>48.46991014380266</v>
      </c>
      <c r="L81" s="271"/>
      <c r="M81" s="832">
        <f>(K81-J81)/J81</f>
        <v>0.06000000000000001</v>
      </c>
      <c r="O81" s="992"/>
    </row>
    <row r="82" spans="1:15" ht="13.5" hidden="1">
      <c r="A82" s="275" t="s">
        <v>1014</v>
      </c>
      <c r="B82" s="21"/>
      <c r="D82" s="66"/>
      <c r="E82" s="66"/>
      <c r="F82" s="43"/>
      <c r="G82" s="66"/>
      <c r="H82" s="66">
        <v>90.43615823017704</v>
      </c>
      <c r="I82" s="271">
        <f>H82*1.06</f>
        <v>95.86232772398768</v>
      </c>
      <c r="J82" s="271">
        <f t="shared" si="13"/>
        <v>101.61406738742694</v>
      </c>
      <c r="K82" s="271">
        <f t="shared" si="13"/>
        <v>107.71091143067255</v>
      </c>
      <c r="L82" s="271"/>
      <c r="M82" s="832">
        <f>(K82-J82)/J82</f>
        <v>0.05999999999999994</v>
      </c>
      <c r="O82" s="992"/>
    </row>
    <row r="83" spans="1:15" ht="13.5" hidden="1">
      <c r="A83" s="275" t="s">
        <v>1015</v>
      </c>
      <c r="B83" s="21"/>
      <c r="D83" s="66"/>
      <c r="E83" s="66"/>
      <c r="F83" s="43"/>
      <c r="G83" s="66"/>
      <c r="H83" s="66">
        <v>203.48135601789832</v>
      </c>
      <c r="I83" s="271">
        <f>H83*1.06</f>
        <v>215.69023737897223</v>
      </c>
      <c r="J83" s="271">
        <f t="shared" si="13"/>
        <v>228.63165162171055</v>
      </c>
      <c r="K83" s="271">
        <f t="shared" si="13"/>
        <v>242.34955071901317</v>
      </c>
      <c r="L83" s="271"/>
      <c r="M83" s="832">
        <f>(K83-J83)/J83</f>
        <v>0.05999999999999994</v>
      </c>
      <c r="O83" s="992"/>
    </row>
    <row r="84" spans="1:15" ht="13.5" hidden="1">
      <c r="A84" s="275" t="s">
        <v>1016</v>
      </c>
      <c r="B84" s="21"/>
      <c r="D84" s="66"/>
      <c r="E84" s="66"/>
      <c r="F84" s="43"/>
      <c r="G84" s="66"/>
      <c r="H84" s="66">
        <v>452.18079115088506</v>
      </c>
      <c r="I84" s="271">
        <f>H84*1.06</f>
        <v>479.3116386199382</v>
      </c>
      <c r="J84" s="271">
        <f t="shared" si="13"/>
        <v>508.07033693713447</v>
      </c>
      <c r="K84" s="271">
        <f t="shared" si="13"/>
        <v>538.5545571533626</v>
      </c>
      <c r="L84" s="271"/>
      <c r="M84" s="832">
        <f>(K84-J84)/J84</f>
        <v>0.06000000000000005</v>
      </c>
      <c r="O84" s="992"/>
    </row>
    <row r="85" spans="1:13" ht="13.5" hidden="1">
      <c r="A85" s="276"/>
      <c r="B85" s="21"/>
      <c r="D85" s="66"/>
      <c r="E85" s="66"/>
      <c r="F85" s="43"/>
      <c r="G85" s="66"/>
      <c r="H85" s="66"/>
      <c r="I85" s="271"/>
      <c r="J85" s="271"/>
      <c r="K85" s="271"/>
      <c r="L85" s="271"/>
      <c r="M85" s="832"/>
    </row>
    <row r="86" spans="1:13" ht="13.5" hidden="1">
      <c r="A86" s="22" t="s">
        <v>988</v>
      </c>
      <c r="B86" s="21"/>
      <c r="D86" s="66"/>
      <c r="E86" s="66"/>
      <c r="F86" s="43"/>
      <c r="G86" s="66"/>
      <c r="H86" s="66"/>
      <c r="I86" s="271"/>
      <c r="J86" s="271"/>
      <c r="K86" s="271"/>
      <c r="L86" s="271"/>
      <c r="M86" s="832"/>
    </row>
    <row r="87" spans="1:15" ht="13.5" hidden="1">
      <c r="A87" s="276" t="s">
        <v>989</v>
      </c>
      <c r="B87" s="21"/>
      <c r="D87" s="66"/>
      <c r="E87" s="66"/>
      <c r="F87" s="43"/>
      <c r="G87" s="66"/>
      <c r="H87" s="66">
        <v>2500</v>
      </c>
      <c r="I87" s="271">
        <f>H87*1.06</f>
        <v>2650</v>
      </c>
      <c r="J87" s="271">
        <f>(I87*$M$12)+I87</f>
        <v>2809</v>
      </c>
      <c r="K87" s="271">
        <f>(J87*$M$12)+J87</f>
        <v>2977.54</v>
      </c>
      <c r="L87" s="271"/>
      <c r="M87" s="832">
        <f>(K87-J87)/J87</f>
        <v>0.059999999999999984</v>
      </c>
      <c r="O87" s="992"/>
    </row>
    <row r="88" spans="1:15" ht="27" customHeight="1" hidden="1">
      <c r="A88" s="276" t="s">
        <v>990</v>
      </c>
      <c r="B88" s="21"/>
      <c r="D88" s="66"/>
      <c r="E88" s="66"/>
      <c r="F88" s="43"/>
      <c r="G88" s="66"/>
      <c r="H88" s="66">
        <v>2500</v>
      </c>
      <c r="I88" s="271">
        <f>H88*1.06</f>
        <v>2650</v>
      </c>
      <c r="J88" s="271">
        <f>(I88*$M$12)+I88</f>
        <v>2809</v>
      </c>
      <c r="K88" s="271">
        <f>(J88*$M$12)+J88</f>
        <v>2977.54</v>
      </c>
      <c r="L88" s="271"/>
      <c r="M88" s="832">
        <f>(K88-J88)/J88</f>
        <v>0.059999999999999984</v>
      </c>
      <c r="O88" s="992"/>
    </row>
    <row r="89" spans="4:13" ht="13.5" hidden="1">
      <c r="D89" s="66"/>
      <c r="E89" s="66"/>
      <c r="F89" s="43"/>
      <c r="I89" s="271"/>
      <c r="J89" s="271"/>
      <c r="K89" s="271"/>
      <c r="L89" s="271"/>
      <c r="M89" s="832"/>
    </row>
    <row r="90" spans="1:13" s="22" customFormat="1" ht="13.5" hidden="1">
      <c r="A90" s="22" t="s">
        <v>460</v>
      </c>
      <c r="C90" s="69"/>
      <c r="D90" s="66"/>
      <c r="E90" s="70"/>
      <c r="G90" s="102"/>
      <c r="H90" s="102"/>
      <c r="I90" s="271"/>
      <c r="J90" s="271"/>
      <c r="K90" s="271"/>
      <c r="L90" s="271"/>
      <c r="M90" s="832"/>
    </row>
    <row r="91" spans="1:13" ht="13.5" hidden="1">
      <c r="A91" s="49" t="s">
        <v>127</v>
      </c>
      <c r="B91" s="21"/>
      <c r="D91" s="66"/>
      <c r="E91" s="70"/>
      <c r="F91" s="43"/>
      <c r="I91" s="271"/>
      <c r="J91" s="271"/>
      <c r="K91" s="271"/>
      <c r="L91" s="271"/>
      <c r="M91" s="832"/>
    </row>
    <row r="92" spans="1:13" ht="13.5" hidden="1">
      <c r="A92" s="20" t="s">
        <v>128</v>
      </c>
      <c r="B92" s="21"/>
      <c r="D92" s="66"/>
      <c r="E92" s="70"/>
      <c r="F92" s="43"/>
      <c r="I92" s="271"/>
      <c r="J92" s="271"/>
      <c r="K92" s="271"/>
      <c r="L92" s="271"/>
      <c r="M92" s="832"/>
    </row>
    <row r="93" spans="1:13" ht="13.5" hidden="1">
      <c r="A93" s="20" t="s">
        <v>129</v>
      </c>
      <c r="B93" s="21"/>
      <c r="D93" s="66"/>
      <c r="E93" s="70"/>
      <c r="F93" s="43"/>
      <c r="I93" s="271"/>
      <c r="J93" s="271"/>
      <c r="K93" s="271"/>
      <c r="L93" s="271"/>
      <c r="M93" s="832"/>
    </row>
    <row r="94" spans="1:13" ht="13.5" hidden="1">
      <c r="A94" s="20" t="s">
        <v>130</v>
      </c>
      <c r="B94" s="21"/>
      <c r="D94" s="66"/>
      <c r="E94" s="70"/>
      <c r="F94" s="43"/>
      <c r="I94" s="271"/>
      <c r="J94" s="271"/>
      <c r="K94" s="271"/>
      <c r="L94" s="271"/>
      <c r="M94" s="832"/>
    </row>
    <row r="95" spans="1:13" ht="13.5" hidden="1">
      <c r="A95" s="20" t="s">
        <v>461</v>
      </c>
      <c r="B95" s="21"/>
      <c r="D95" s="66"/>
      <c r="E95" s="70"/>
      <c r="F95" s="43"/>
      <c r="I95" s="271"/>
      <c r="J95" s="271"/>
      <c r="K95" s="271"/>
      <c r="L95" s="271"/>
      <c r="M95" s="832"/>
    </row>
    <row r="96" spans="1:13" ht="13.5" hidden="1">
      <c r="A96" s="78" t="s">
        <v>389</v>
      </c>
      <c r="B96" s="21">
        <v>600</v>
      </c>
      <c r="C96" s="21">
        <f aca="true" t="shared" si="14" ref="C96:D98">B96*1.1</f>
        <v>660</v>
      </c>
      <c r="D96" s="66">
        <f t="shared" si="14"/>
        <v>726.0000000000001</v>
      </c>
      <c r="E96" s="70">
        <f>D96*1.1</f>
        <v>798.6000000000001</v>
      </c>
      <c r="F96" s="43">
        <f>(E96-D96)/D96</f>
        <v>0.10000000000000002</v>
      </c>
      <c r="G96" s="112">
        <v>922.8621600000002</v>
      </c>
      <c r="H96" s="245">
        <f aca="true" t="shared" si="15" ref="H96:I98">G96*1.06</f>
        <v>978.2338896000003</v>
      </c>
      <c r="I96" s="287">
        <f t="shared" si="15"/>
        <v>1036.9279229760004</v>
      </c>
      <c r="J96" s="287">
        <f aca="true" t="shared" si="16" ref="J96:K98">(I96*$M$12)+I96</f>
        <v>1099.1435983545605</v>
      </c>
      <c r="K96" s="271">
        <f t="shared" si="16"/>
        <v>1165.092214255834</v>
      </c>
      <c r="L96" s="271"/>
      <c r="M96" s="832">
        <f>(K96-J96)/J96</f>
        <v>0.05999999999999995</v>
      </c>
    </row>
    <row r="97" spans="1:13" ht="13.5" hidden="1">
      <c r="A97" s="78" t="s">
        <v>131</v>
      </c>
      <c r="B97" s="21">
        <v>500</v>
      </c>
      <c r="C97" s="21">
        <f t="shared" si="14"/>
        <v>550</v>
      </c>
      <c r="D97" s="66">
        <f t="shared" si="14"/>
        <v>605</v>
      </c>
      <c r="E97" s="70">
        <f>D97*1.1</f>
        <v>665.5</v>
      </c>
      <c r="F97" s="43">
        <f>(E97-D97)/D97</f>
        <v>0.1</v>
      </c>
      <c r="G97" s="112">
        <v>769.0518000000001</v>
      </c>
      <c r="H97" s="245">
        <f t="shared" si="15"/>
        <v>815.1949080000002</v>
      </c>
      <c r="I97" s="287">
        <f t="shared" si="15"/>
        <v>864.1066024800002</v>
      </c>
      <c r="J97" s="287">
        <f t="shared" si="16"/>
        <v>915.9529986288003</v>
      </c>
      <c r="K97" s="271">
        <f t="shared" si="16"/>
        <v>970.9101785465283</v>
      </c>
      <c r="L97" s="271"/>
      <c r="M97" s="832">
        <f>(K97-J97)/J97</f>
        <v>0.06</v>
      </c>
    </row>
    <row r="98" spans="1:13" ht="13.5" hidden="1">
      <c r="A98" s="78" t="s">
        <v>506</v>
      </c>
      <c r="B98" s="21">
        <v>400</v>
      </c>
      <c r="C98" s="21">
        <f t="shared" si="14"/>
        <v>440.00000000000006</v>
      </c>
      <c r="D98" s="66">
        <f t="shared" si="14"/>
        <v>484.0000000000001</v>
      </c>
      <c r="E98" s="70">
        <f>D98*1.1</f>
        <v>532.4000000000002</v>
      </c>
      <c r="F98" s="43">
        <f>(E98-D98)/D98</f>
        <v>0.10000000000000016</v>
      </c>
      <c r="G98" s="112">
        <v>615.2414400000004</v>
      </c>
      <c r="H98" s="245">
        <f t="shared" si="15"/>
        <v>652.1559264000005</v>
      </c>
      <c r="I98" s="287">
        <f t="shared" si="15"/>
        <v>691.2852819840006</v>
      </c>
      <c r="J98" s="287">
        <f t="shared" si="16"/>
        <v>732.7623989030405</v>
      </c>
      <c r="K98" s="271">
        <f t="shared" si="16"/>
        <v>776.728142837223</v>
      </c>
      <c r="L98" s="271"/>
      <c r="M98" s="832">
        <f>(K98-J98)/J98</f>
        <v>0.06000000000000003</v>
      </c>
    </row>
    <row r="99" spans="1:13" ht="13.5" hidden="1">
      <c r="A99" s="20" t="s">
        <v>531</v>
      </c>
      <c r="B99" s="21"/>
      <c r="D99" s="66"/>
      <c r="E99" s="70"/>
      <c r="F99" s="43"/>
      <c r="I99" s="271"/>
      <c r="J99" s="271"/>
      <c r="K99" s="271"/>
      <c r="L99" s="271"/>
      <c r="M99" s="832"/>
    </row>
    <row r="100" spans="4:13" ht="13.5" hidden="1">
      <c r="D100" s="66"/>
      <c r="E100" s="70"/>
      <c r="I100" s="271"/>
      <c r="J100" s="271"/>
      <c r="K100" s="271"/>
      <c r="L100" s="271"/>
      <c r="M100" s="832"/>
    </row>
    <row r="101" spans="1:13" s="22" customFormat="1" ht="13.5" hidden="1">
      <c r="A101" s="22" t="s">
        <v>462</v>
      </c>
      <c r="C101" s="69"/>
      <c r="D101" s="66"/>
      <c r="E101" s="70"/>
      <c r="G101" s="102"/>
      <c r="H101" s="102"/>
      <c r="I101" s="271"/>
      <c r="J101" s="271"/>
      <c r="K101" s="271"/>
      <c r="L101" s="271"/>
      <c r="M101" s="832"/>
    </row>
    <row r="102" spans="1:13" ht="13.5" hidden="1">
      <c r="A102" s="79" t="s">
        <v>463</v>
      </c>
      <c r="D102" s="66"/>
      <c r="E102" s="70"/>
      <c r="I102" s="271"/>
      <c r="J102" s="271"/>
      <c r="K102" s="271"/>
      <c r="L102" s="271"/>
      <c r="M102" s="832"/>
    </row>
    <row r="103" spans="1:13" ht="13.5" hidden="1">
      <c r="A103" s="20" t="s">
        <v>133</v>
      </c>
      <c r="B103" s="21"/>
      <c r="D103" s="66"/>
      <c r="E103" s="70"/>
      <c r="F103" s="43"/>
      <c r="I103" s="271"/>
      <c r="J103" s="271"/>
      <c r="K103" s="271"/>
      <c r="L103" s="271"/>
      <c r="M103" s="832"/>
    </row>
    <row r="104" spans="1:13" ht="13.5" hidden="1">
      <c r="A104" s="20" t="s">
        <v>134</v>
      </c>
      <c r="B104" s="21"/>
      <c r="D104" s="66"/>
      <c r="E104" s="70"/>
      <c r="F104" s="43"/>
      <c r="I104" s="271"/>
      <c r="J104" s="271"/>
      <c r="K104" s="271"/>
      <c r="L104" s="271"/>
      <c r="M104" s="832"/>
    </row>
    <row r="105" spans="1:13" ht="13.5" hidden="1">
      <c r="A105" s="20" t="s">
        <v>464</v>
      </c>
      <c r="B105" s="21"/>
      <c r="D105" s="66"/>
      <c r="E105" s="70"/>
      <c r="F105" s="43"/>
      <c r="I105" s="271"/>
      <c r="J105" s="271"/>
      <c r="K105" s="271"/>
      <c r="L105" s="271"/>
      <c r="M105" s="832"/>
    </row>
    <row r="106" spans="1:13" ht="13.5" hidden="1">
      <c r="A106" s="78" t="s">
        <v>389</v>
      </c>
      <c r="B106" s="21">
        <v>600</v>
      </c>
      <c r="C106" s="21">
        <f aca="true" t="shared" si="17" ref="C106:D108">B106*1.1</f>
        <v>660</v>
      </c>
      <c r="D106" s="21">
        <f t="shared" si="17"/>
        <v>726.0000000000001</v>
      </c>
      <c r="E106" s="70">
        <f>D106*1.1</f>
        <v>798.6000000000001</v>
      </c>
      <c r="F106" s="43">
        <f>(E106-D106)/D106</f>
        <v>0.10000000000000002</v>
      </c>
      <c r="G106" s="112">
        <v>922.8621600000002</v>
      </c>
      <c r="H106" s="112">
        <f aca="true" t="shared" si="18" ref="H106:I108">G106*1.06</f>
        <v>978.2338896000003</v>
      </c>
      <c r="I106" s="271">
        <f t="shared" si="18"/>
        <v>1036.9279229760004</v>
      </c>
      <c r="J106" s="271">
        <f aca="true" t="shared" si="19" ref="J106:K108">(I106*$M$12)+I106</f>
        <v>1099.1435983545605</v>
      </c>
      <c r="K106" s="271">
        <f t="shared" si="19"/>
        <v>1165.092214255834</v>
      </c>
      <c r="L106" s="271"/>
      <c r="M106" s="832">
        <f>(K106-J106)/J106</f>
        <v>0.05999999999999995</v>
      </c>
    </row>
    <row r="107" spans="1:13" ht="13.5" hidden="1">
      <c r="A107" s="78" t="s">
        <v>131</v>
      </c>
      <c r="B107" s="21">
        <v>500</v>
      </c>
      <c r="C107" s="21">
        <f t="shared" si="17"/>
        <v>550</v>
      </c>
      <c r="D107" s="21">
        <f t="shared" si="17"/>
        <v>605</v>
      </c>
      <c r="E107" s="70">
        <f>D107*1.1</f>
        <v>665.5</v>
      </c>
      <c r="F107" s="43">
        <f>(E107-D107)/D107</f>
        <v>0.1</v>
      </c>
      <c r="G107" s="112">
        <v>769.0518000000001</v>
      </c>
      <c r="H107" s="112">
        <f t="shared" si="18"/>
        <v>815.1949080000002</v>
      </c>
      <c r="I107" s="271">
        <f t="shared" si="18"/>
        <v>864.1066024800002</v>
      </c>
      <c r="J107" s="271">
        <f t="shared" si="19"/>
        <v>915.9529986288003</v>
      </c>
      <c r="K107" s="271">
        <f t="shared" si="19"/>
        <v>970.9101785465283</v>
      </c>
      <c r="L107" s="271"/>
      <c r="M107" s="832">
        <f>(K107-J107)/J107</f>
        <v>0.06</v>
      </c>
    </row>
    <row r="108" spans="1:13" ht="13.5" hidden="1">
      <c r="A108" s="78" t="s">
        <v>506</v>
      </c>
      <c r="B108" s="21">
        <v>400</v>
      </c>
      <c r="C108" s="21">
        <f t="shared" si="17"/>
        <v>440.00000000000006</v>
      </c>
      <c r="D108" s="21">
        <f t="shared" si="17"/>
        <v>484.0000000000001</v>
      </c>
      <c r="E108" s="70">
        <f>D108*1.1</f>
        <v>532.4000000000002</v>
      </c>
      <c r="F108" s="43">
        <f>(E108-D108)/D108</f>
        <v>0.10000000000000016</v>
      </c>
      <c r="G108" s="112">
        <v>615.2414400000004</v>
      </c>
      <c r="H108" s="112">
        <f t="shared" si="18"/>
        <v>652.1559264000005</v>
      </c>
      <c r="I108" s="271">
        <f t="shared" si="18"/>
        <v>691.2852819840006</v>
      </c>
      <c r="J108" s="271">
        <f t="shared" si="19"/>
        <v>732.7623989030405</v>
      </c>
      <c r="K108" s="271">
        <f t="shared" si="19"/>
        <v>776.728142837223</v>
      </c>
      <c r="L108" s="271"/>
      <c r="M108" s="832">
        <f>(K108-J108)/J108</f>
        <v>0.06000000000000003</v>
      </c>
    </row>
    <row r="109" spans="1:13" ht="13.5" hidden="1">
      <c r="A109" s="20" t="s">
        <v>459</v>
      </c>
      <c r="D109" s="66"/>
      <c r="E109" s="70"/>
      <c r="I109" s="271"/>
      <c r="J109" s="271"/>
      <c r="K109" s="271"/>
      <c r="L109" s="271"/>
      <c r="M109" s="832"/>
    </row>
    <row r="110" spans="3:13" ht="13.5" hidden="1">
      <c r="C110" s="70"/>
      <c r="D110" s="66"/>
      <c r="E110" s="70"/>
      <c r="F110" s="43"/>
      <c r="I110" s="271"/>
      <c r="J110" s="271"/>
      <c r="K110" s="271"/>
      <c r="L110" s="271"/>
      <c r="M110" s="832"/>
    </row>
    <row r="111" spans="1:13" s="22" customFormat="1" ht="13.5" hidden="1">
      <c r="A111" s="22" t="s">
        <v>465</v>
      </c>
      <c r="C111" s="69"/>
      <c r="D111" s="66"/>
      <c r="E111" s="70"/>
      <c r="G111" s="102"/>
      <c r="H111" s="102"/>
      <c r="I111" s="271"/>
      <c r="J111" s="271"/>
      <c r="K111" s="271"/>
      <c r="L111" s="271"/>
      <c r="M111" s="832"/>
    </row>
    <row r="112" spans="1:13" s="22" customFormat="1" ht="13.5" hidden="1">
      <c r="A112" s="20" t="s">
        <v>466</v>
      </c>
      <c r="C112" s="69"/>
      <c r="D112" s="66"/>
      <c r="E112" s="70"/>
      <c r="G112" s="102"/>
      <c r="H112" s="102"/>
      <c r="I112" s="271"/>
      <c r="J112" s="271"/>
      <c r="K112" s="271"/>
      <c r="L112" s="271"/>
      <c r="M112" s="832"/>
    </row>
    <row r="113" spans="1:13" ht="13.5" hidden="1">
      <c r="A113" s="20" t="s">
        <v>135</v>
      </c>
      <c r="B113" s="21"/>
      <c r="D113" s="66"/>
      <c r="E113" s="70"/>
      <c r="F113" s="43"/>
      <c r="I113" s="271"/>
      <c r="J113" s="271"/>
      <c r="K113" s="271"/>
      <c r="L113" s="271"/>
      <c r="M113" s="832"/>
    </row>
    <row r="114" spans="1:13" ht="13.5" hidden="1">
      <c r="A114" s="20" t="s">
        <v>467</v>
      </c>
      <c r="B114" s="21"/>
      <c r="D114" s="66"/>
      <c r="E114" s="70"/>
      <c r="F114" s="43"/>
      <c r="I114" s="271"/>
      <c r="J114" s="271"/>
      <c r="K114" s="271"/>
      <c r="L114" s="271"/>
      <c r="M114" s="832"/>
    </row>
    <row r="115" spans="1:13" ht="13.5" hidden="1">
      <c r="A115" s="20" t="s">
        <v>128</v>
      </c>
      <c r="B115" s="21"/>
      <c r="D115" s="66"/>
      <c r="E115" s="70"/>
      <c r="F115" s="43"/>
      <c r="I115" s="271"/>
      <c r="J115" s="271"/>
      <c r="K115" s="271"/>
      <c r="L115" s="271"/>
      <c r="M115" s="832"/>
    </row>
    <row r="116" spans="1:13" ht="13.5" hidden="1">
      <c r="A116" s="20" t="s">
        <v>126</v>
      </c>
      <c r="B116" s="21"/>
      <c r="D116" s="66"/>
      <c r="E116" s="70"/>
      <c r="F116" s="43"/>
      <c r="I116" s="271"/>
      <c r="J116" s="271"/>
      <c r="K116" s="271"/>
      <c r="L116" s="271"/>
      <c r="M116" s="832"/>
    </row>
    <row r="117" spans="1:13" ht="13.5" hidden="1">
      <c r="A117" s="78" t="s">
        <v>389</v>
      </c>
      <c r="B117" s="21">
        <v>600</v>
      </c>
      <c r="C117" s="21">
        <f aca="true" t="shared" si="20" ref="C117:D120">B117*1.1</f>
        <v>660</v>
      </c>
      <c r="D117" s="66">
        <f t="shared" si="20"/>
        <v>726.0000000000001</v>
      </c>
      <c r="E117" s="70">
        <f>D117*1.1</f>
        <v>798.6000000000001</v>
      </c>
      <c r="F117" s="43">
        <f>(E117-D117)/D117</f>
        <v>0.10000000000000002</v>
      </c>
      <c r="G117" s="112">
        <v>922.8621600000002</v>
      </c>
      <c r="H117" s="112">
        <f aca="true" t="shared" si="21" ref="H117:I120">G117*1.06</f>
        <v>978.2338896000003</v>
      </c>
      <c r="I117" s="271">
        <f t="shared" si="21"/>
        <v>1036.9279229760004</v>
      </c>
      <c r="J117" s="271">
        <f aca="true" t="shared" si="22" ref="J117:K120">(I117*$M$12)+I117</f>
        <v>1099.1435983545605</v>
      </c>
      <c r="K117" s="271">
        <f t="shared" si="22"/>
        <v>1165.092214255834</v>
      </c>
      <c r="L117" s="271"/>
      <c r="M117" s="832">
        <f>(K117-J117)/J117</f>
        <v>0.05999999999999995</v>
      </c>
    </row>
    <row r="118" spans="1:13" ht="13.5" hidden="1">
      <c r="A118" s="78" t="s">
        <v>131</v>
      </c>
      <c r="B118" s="21">
        <v>500</v>
      </c>
      <c r="C118" s="21">
        <f t="shared" si="20"/>
        <v>550</v>
      </c>
      <c r="D118" s="66">
        <f t="shared" si="20"/>
        <v>605</v>
      </c>
      <c r="E118" s="70">
        <f>D118*1.1</f>
        <v>665.5</v>
      </c>
      <c r="F118" s="43">
        <f>(E118-D118)/D118</f>
        <v>0.1</v>
      </c>
      <c r="G118" s="112">
        <v>769.0518000000001</v>
      </c>
      <c r="H118" s="112">
        <f t="shared" si="21"/>
        <v>815.1949080000002</v>
      </c>
      <c r="I118" s="271">
        <f t="shared" si="21"/>
        <v>864.1066024800002</v>
      </c>
      <c r="J118" s="271">
        <f t="shared" si="22"/>
        <v>915.9529986288003</v>
      </c>
      <c r="K118" s="271">
        <f t="shared" si="22"/>
        <v>970.9101785465283</v>
      </c>
      <c r="L118" s="271"/>
      <c r="M118" s="832">
        <f>(K118-J118)/J118</f>
        <v>0.06</v>
      </c>
    </row>
    <row r="119" spans="1:13" ht="13.5" hidden="1">
      <c r="A119" s="78" t="s">
        <v>506</v>
      </c>
      <c r="B119" s="21">
        <v>400</v>
      </c>
      <c r="C119" s="21">
        <f t="shared" si="20"/>
        <v>440.00000000000006</v>
      </c>
      <c r="D119" s="66">
        <f t="shared" si="20"/>
        <v>484.0000000000001</v>
      </c>
      <c r="E119" s="70">
        <f>D119*1.1</f>
        <v>532.4000000000002</v>
      </c>
      <c r="F119" s="43">
        <f>(E119-D119)/D119</f>
        <v>0.10000000000000016</v>
      </c>
      <c r="G119" s="112">
        <v>615.2414400000004</v>
      </c>
      <c r="H119" s="112">
        <f t="shared" si="21"/>
        <v>652.1559264000005</v>
      </c>
      <c r="I119" s="271">
        <f t="shared" si="21"/>
        <v>691.2852819840006</v>
      </c>
      <c r="J119" s="271">
        <f t="shared" si="22"/>
        <v>732.7623989030405</v>
      </c>
      <c r="K119" s="271">
        <f t="shared" si="22"/>
        <v>776.728142837223</v>
      </c>
      <c r="L119" s="271"/>
      <c r="M119" s="832">
        <f>(K119-J119)/J119</f>
        <v>0.06000000000000003</v>
      </c>
    </row>
    <row r="120" spans="1:13" ht="13.5" hidden="1">
      <c r="A120" s="78" t="s">
        <v>132</v>
      </c>
      <c r="B120" s="21">
        <v>300</v>
      </c>
      <c r="C120" s="21">
        <f t="shared" si="20"/>
        <v>330</v>
      </c>
      <c r="D120" s="66">
        <f t="shared" si="20"/>
        <v>363.00000000000006</v>
      </c>
      <c r="E120" s="70">
        <f>D120*1.1</f>
        <v>399.30000000000007</v>
      </c>
      <c r="F120" s="43">
        <f>(E120-D120)/D120</f>
        <v>0.10000000000000002</v>
      </c>
      <c r="G120" s="112">
        <v>461.4310800000001</v>
      </c>
      <c r="H120" s="112">
        <f t="shared" si="21"/>
        <v>489.11694480000017</v>
      </c>
      <c r="I120" s="271">
        <f t="shared" si="21"/>
        <v>518.4639614880002</v>
      </c>
      <c r="J120" s="271">
        <f t="shared" si="22"/>
        <v>549.5717991772802</v>
      </c>
      <c r="K120" s="271">
        <f t="shared" si="22"/>
        <v>582.546107127917</v>
      </c>
      <c r="L120" s="271"/>
      <c r="M120" s="832">
        <f>(K120-J120)/J120</f>
        <v>0.05999999999999995</v>
      </c>
    </row>
    <row r="121" spans="1:13" ht="13.5" hidden="1">
      <c r="A121" s="20" t="s">
        <v>459</v>
      </c>
      <c r="B121" s="21"/>
      <c r="D121" s="66"/>
      <c r="E121" s="70"/>
      <c r="F121" s="43"/>
      <c r="H121" s="23"/>
      <c r="I121" s="271"/>
      <c r="J121" s="271"/>
      <c r="K121" s="271"/>
      <c r="L121" s="271"/>
      <c r="M121" s="832"/>
    </row>
    <row r="122" spans="2:17" ht="12.75">
      <c r="B122" s="21"/>
      <c r="D122" s="66"/>
      <c r="E122" s="70"/>
      <c r="H122" s="23"/>
      <c r="I122" s="271"/>
      <c r="J122" s="711" t="s">
        <v>366</v>
      </c>
      <c r="K122" s="711" t="s">
        <v>366</v>
      </c>
      <c r="L122" s="711" t="s">
        <v>366</v>
      </c>
      <c r="M122" s="832"/>
      <c r="O122" s="711" t="s">
        <v>366</v>
      </c>
      <c r="P122" s="711" t="s">
        <v>366</v>
      </c>
      <c r="Q122" s="711"/>
    </row>
    <row r="123" spans="1:13" s="41" customFormat="1" ht="15">
      <c r="A123" s="55" t="s">
        <v>1383</v>
      </c>
      <c r="C123" s="80"/>
      <c r="D123" s="66"/>
      <c r="E123" s="70"/>
      <c r="G123" s="102"/>
      <c r="H123" s="23"/>
      <c r="I123" s="271"/>
      <c r="J123" s="271"/>
      <c r="K123" s="271"/>
      <c r="L123" s="271"/>
      <c r="M123" s="832"/>
    </row>
    <row r="124" spans="4:13" ht="12.75">
      <c r="D124" s="66"/>
      <c r="E124" s="70"/>
      <c r="H124" s="23"/>
      <c r="I124" s="271"/>
      <c r="J124" s="271"/>
      <c r="K124" s="271"/>
      <c r="L124" s="271"/>
      <c r="M124" s="832"/>
    </row>
    <row r="125" spans="1:13" s="22" customFormat="1" ht="12.75">
      <c r="A125" s="22" t="s">
        <v>266</v>
      </c>
      <c r="B125" s="22" t="s">
        <v>25</v>
      </c>
      <c r="C125" s="69"/>
      <c r="D125" s="66"/>
      <c r="E125" s="70"/>
      <c r="G125" s="102"/>
      <c r="H125" s="23"/>
      <c r="I125" s="271"/>
      <c r="J125" s="271"/>
      <c r="K125" s="271"/>
      <c r="L125" s="271"/>
      <c r="M125" s="832"/>
    </row>
    <row r="126" spans="2:9" s="22" customFormat="1" ht="12.75">
      <c r="B126" s="19" t="s">
        <v>366</v>
      </c>
      <c r="C126" s="69"/>
      <c r="D126" s="66"/>
      <c r="E126" s="70"/>
      <c r="G126" s="102"/>
      <c r="H126" s="23"/>
      <c r="I126" s="271"/>
    </row>
    <row r="127" spans="1:16" s="22" customFormat="1" ht="12.75">
      <c r="A127" s="20" t="s">
        <v>770</v>
      </c>
      <c r="B127" s="19"/>
      <c r="C127" s="69"/>
      <c r="D127" s="66"/>
      <c r="E127" s="70">
        <v>240</v>
      </c>
      <c r="F127" s="43">
        <v>0</v>
      </c>
      <c r="G127" s="112">
        <v>277.34400000000005</v>
      </c>
      <c r="H127" s="112">
        <f>G127*1.06</f>
        <v>293.98464000000007</v>
      </c>
      <c r="I127" s="271">
        <f>H127*1.06</f>
        <v>311.6237184000001</v>
      </c>
      <c r="J127" s="271">
        <f aca="true" t="shared" si="23" ref="J127:J139">(I127*$M$12)+I127</f>
        <v>330.3211415040001</v>
      </c>
      <c r="K127" s="271">
        <f aca="true" t="shared" si="24" ref="K127:K139">(J127*$M$12)+J127</f>
        <v>350.1404099942401</v>
      </c>
      <c r="L127" s="271">
        <f aca="true" t="shared" si="25" ref="L127:L139">(K127*M127)+K127</f>
        <v>371.1488345938945</v>
      </c>
      <c r="M127" s="832">
        <f aca="true" t="shared" si="26" ref="M127:M139">$M$7</f>
        <v>0.06</v>
      </c>
      <c r="O127" s="271">
        <f aca="true" t="shared" si="27" ref="O127:O139">(L127*$O$7)+L127</f>
        <v>393.41776466952814</v>
      </c>
      <c r="P127" s="271">
        <f>(O127*$P$7)+O127</f>
        <v>417.02283054969985</v>
      </c>
    </row>
    <row r="128" spans="1:16" s="22" customFormat="1" ht="12.75">
      <c r="A128" s="20" t="s">
        <v>1018</v>
      </c>
      <c r="B128" s="19"/>
      <c r="C128" s="69"/>
      <c r="D128" s="66"/>
      <c r="E128" s="70"/>
      <c r="F128" s="43"/>
      <c r="G128" s="112"/>
      <c r="H128" s="112">
        <v>500</v>
      </c>
      <c r="I128" s="271">
        <f>H128*1.06</f>
        <v>530</v>
      </c>
      <c r="J128" s="271">
        <f t="shared" si="23"/>
        <v>561.8</v>
      </c>
      <c r="K128" s="271">
        <f t="shared" si="24"/>
        <v>595.5079999999999</v>
      </c>
      <c r="L128" s="271">
        <f t="shared" si="25"/>
        <v>631.2384799999999</v>
      </c>
      <c r="M128" s="832">
        <f t="shared" si="26"/>
        <v>0.06</v>
      </c>
      <c r="O128" s="271">
        <f t="shared" si="27"/>
        <v>669.1127887999999</v>
      </c>
      <c r="P128" s="271">
        <f aca="true" t="shared" si="28" ref="P128:P139">(O128*$P$7)+O128</f>
        <v>709.2595561279999</v>
      </c>
    </row>
    <row r="129" spans="1:16" s="22" customFormat="1" ht="12.75">
      <c r="A129" s="20" t="s">
        <v>1019</v>
      </c>
      <c r="B129" s="19"/>
      <c r="C129" s="69"/>
      <c r="D129" s="66"/>
      <c r="E129" s="70">
        <v>1680</v>
      </c>
      <c r="F129" s="43">
        <v>0</v>
      </c>
      <c r="G129" s="66">
        <v>1941.4080000000001</v>
      </c>
      <c r="H129" s="66">
        <f>G129*1.06</f>
        <v>2057.8924800000004</v>
      </c>
      <c r="I129" s="271">
        <f>H129*1.06</f>
        <v>2181.3660288000005</v>
      </c>
      <c r="J129" s="271">
        <f t="shared" si="23"/>
        <v>2312.2479905280006</v>
      </c>
      <c r="K129" s="271">
        <f t="shared" si="24"/>
        <v>2450.9828699596806</v>
      </c>
      <c r="L129" s="271">
        <f t="shared" si="25"/>
        <v>2598.0418421572613</v>
      </c>
      <c r="M129" s="832">
        <f t="shared" si="26"/>
        <v>0.06</v>
      </c>
      <c r="O129" s="271">
        <f t="shared" si="27"/>
        <v>2753.924352686697</v>
      </c>
      <c r="P129" s="271">
        <f t="shared" si="28"/>
        <v>2919.159813847899</v>
      </c>
    </row>
    <row r="130" spans="1:16" s="22" customFormat="1" ht="12.75">
      <c r="A130" s="20" t="s">
        <v>771</v>
      </c>
      <c r="B130" s="19"/>
      <c r="C130" s="69"/>
      <c r="D130" s="66"/>
      <c r="E130" s="70">
        <v>400</v>
      </c>
      <c r="F130" s="43">
        <v>0</v>
      </c>
      <c r="G130" s="112">
        <v>462.24</v>
      </c>
      <c r="H130" s="112">
        <v>650</v>
      </c>
      <c r="I130" s="271">
        <f>H130*1.06</f>
        <v>689</v>
      </c>
      <c r="J130" s="271">
        <f t="shared" si="23"/>
        <v>730.34</v>
      </c>
      <c r="K130" s="271">
        <f t="shared" si="24"/>
        <v>774.1604</v>
      </c>
      <c r="L130" s="271">
        <f t="shared" si="25"/>
        <v>820.610024</v>
      </c>
      <c r="M130" s="832">
        <f t="shared" si="26"/>
        <v>0.06</v>
      </c>
      <c r="O130" s="271">
        <f t="shared" si="27"/>
        <v>869.8466254399999</v>
      </c>
      <c r="P130" s="271">
        <f t="shared" si="28"/>
        <v>922.0374229663998</v>
      </c>
    </row>
    <row r="131" spans="1:16" s="22" customFormat="1" ht="13.5" hidden="1">
      <c r="A131" s="20" t="s">
        <v>772</v>
      </c>
      <c r="B131" s="19"/>
      <c r="C131" s="69"/>
      <c r="D131" s="66"/>
      <c r="E131" s="70">
        <v>0</v>
      </c>
      <c r="F131" s="43">
        <v>0</v>
      </c>
      <c r="G131" s="112"/>
      <c r="H131" s="23"/>
      <c r="I131" s="271"/>
      <c r="J131" s="271">
        <f t="shared" si="23"/>
        <v>0</v>
      </c>
      <c r="K131" s="271">
        <f t="shared" si="24"/>
        <v>0</v>
      </c>
      <c r="L131" s="271">
        <f t="shared" si="25"/>
        <v>0</v>
      </c>
      <c r="M131" s="832">
        <f t="shared" si="26"/>
        <v>0.06</v>
      </c>
      <c r="O131" s="271">
        <f t="shared" si="27"/>
        <v>0</v>
      </c>
      <c r="P131" s="271">
        <f t="shared" si="28"/>
        <v>0</v>
      </c>
    </row>
    <row r="132" spans="1:16" s="22" customFormat="1" ht="12.75">
      <c r="A132" s="20" t="s">
        <v>773</v>
      </c>
      <c r="B132" s="19"/>
      <c r="C132" s="69"/>
      <c r="D132" s="66"/>
      <c r="E132" s="70">
        <v>320</v>
      </c>
      <c r="F132" s="43">
        <v>0</v>
      </c>
      <c r="G132" s="112">
        <v>369.79200000000003</v>
      </c>
      <c r="H132" s="112">
        <v>460</v>
      </c>
      <c r="I132" s="271">
        <f aca="true" t="shared" si="29" ref="I132:I143">H132*1.06</f>
        <v>487.6</v>
      </c>
      <c r="J132" s="271">
        <f t="shared" si="23"/>
        <v>516.856</v>
      </c>
      <c r="K132" s="271">
        <f t="shared" si="24"/>
        <v>547.86736</v>
      </c>
      <c r="L132" s="271">
        <f t="shared" si="25"/>
        <v>580.7394016</v>
      </c>
      <c r="M132" s="832">
        <f t="shared" si="26"/>
        <v>0.06</v>
      </c>
      <c r="O132" s="271">
        <f t="shared" si="27"/>
        <v>615.583765696</v>
      </c>
      <c r="P132" s="271">
        <f t="shared" si="28"/>
        <v>652.51879163776</v>
      </c>
    </row>
    <row r="133" spans="1:16" s="22" customFormat="1" ht="12.75">
      <c r="A133" s="20" t="s">
        <v>774</v>
      </c>
      <c r="B133" s="19"/>
      <c r="C133" s="69"/>
      <c r="D133" s="66"/>
      <c r="E133" s="70">
        <v>350</v>
      </c>
      <c r="F133" s="43">
        <v>0</v>
      </c>
      <c r="G133" s="112">
        <v>404.46000000000004</v>
      </c>
      <c r="H133" s="112">
        <v>300</v>
      </c>
      <c r="I133" s="271">
        <f t="shared" si="29"/>
        <v>318</v>
      </c>
      <c r="J133" s="271">
        <f t="shared" si="23"/>
        <v>337.08</v>
      </c>
      <c r="K133" s="271">
        <f t="shared" si="24"/>
        <v>357.3048</v>
      </c>
      <c r="L133" s="271">
        <f t="shared" si="25"/>
        <v>378.743088</v>
      </c>
      <c r="M133" s="832">
        <f t="shared" si="26"/>
        <v>0.06</v>
      </c>
      <c r="O133" s="271">
        <f t="shared" si="27"/>
        <v>401.46767328</v>
      </c>
      <c r="P133" s="271">
        <f t="shared" si="28"/>
        <v>425.5557336768</v>
      </c>
    </row>
    <row r="134" spans="1:16" s="22" customFormat="1" ht="12.75">
      <c r="A134" s="20" t="s">
        <v>775</v>
      </c>
      <c r="B134" s="19"/>
      <c r="C134" s="69"/>
      <c r="D134" s="66"/>
      <c r="E134" s="70">
        <v>140</v>
      </c>
      <c r="F134" s="43">
        <v>0</v>
      </c>
      <c r="G134" s="112">
        <v>161.78400000000002</v>
      </c>
      <c r="H134" s="112">
        <f>G134*1.06</f>
        <v>171.49104000000003</v>
      </c>
      <c r="I134" s="271">
        <f t="shared" si="29"/>
        <v>181.78050240000005</v>
      </c>
      <c r="J134" s="271">
        <f t="shared" si="23"/>
        <v>192.68733254400004</v>
      </c>
      <c r="K134" s="271">
        <f t="shared" si="24"/>
        <v>204.24857249664004</v>
      </c>
      <c r="L134" s="271">
        <f t="shared" si="25"/>
        <v>216.50348684643845</v>
      </c>
      <c r="M134" s="832">
        <f t="shared" si="26"/>
        <v>0.06</v>
      </c>
      <c r="O134" s="271">
        <f t="shared" si="27"/>
        <v>229.49369605722475</v>
      </c>
      <c r="P134" s="271">
        <f t="shared" si="28"/>
        <v>243.26331782065824</v>
      </c>
    </row>
    <row r="135" spans="1:16" s="22" customFormat="1" ht="12.75">
      <c r="A135" s="20" t="s">
        <v>776</v>
      </c>
      <c r="B135" s="19"/>
      <c r="C135" s="69"/>
      <c r="D135" s="66"/>
      <c r="E135" s="70">
        <v>140</v>
      </c>
      <c r="F135" s="43">
        <v>0</v>
      </c>
      <c r="G135" s="112">
        <v>161.78400000000002</v>
      </c>
      <c r="H135" s="112">
        <v>225</v>
      </c>
      <c r="I135" s="271">
        <f t="shared" si="29"/>
        <v>238.5</v>
      </c>
      <c r="J135" s="271">
        <f t="shared" si="23"/>
        <v>252.81</v>
      </c>
      <c r="K135" s="271">
        <f t="shared" si="24"/>
        <v>267.97860000000003</v>
      </c>
      <c r="L135" s="271">
        <f t="shared" si="25"/>
        <v>284.057316</v>
      </c>
      <c r="M135" s="832">
        <f t="shared" si="26"/>
        <v>0.06</v>
      </c>
      <c r="O135" s="271">
        <f t="shared" si="27"/>
        <v>301.10075496</v>
      </c>
      <c r="P135" s="271">
        <f t="shared" si="28"/>
        <v>319.1668002576</v>
      </c>
    </row>
    <row r="136" spans="1:16" s="22" customFormat="1" ht="12.75">
      <c r="A136" s="20" t="s">
        <v>1020</v>
      </c>
      <c r="B136" s="19"/>
      <c r="C136" s="69"/>
      <c r="D136" s="66"/>
      <c r="E136" s="70"/>
      <c r="F136" s="43"/>
      <c r="G136" s="112"/>
      <c r="H136" s="112">
        <v>371</v>
      </c>
      <c r="I136" s="271">
        <f t="shared" si="29"/>
        <v>393.26000000000005</v>
      </c>
      <c r="J136" s="271">
        <f t="shared" si="23"/>
        <v>416.85560000000004</v>
      </c>
      <c r="K136" s="271">
        <f t="shared" si="24"/>
        <v>441.866936</v>
      </c>
      <c r="L136" s="271">
        <f t="shared" si="25"/>
        <v>468.37895216</v>
      </c>
      <c r="M136" s="832">
        <f t="shared" si="26"/>
        <v>0.06</v>
      </c>
      <c r="O136" s="271">
        <f t="shared" si="27"/>
        <v>496.48168928959996</v>
      </c>
      <c r="P136" s="271">
        <f t="shared" si="28"/>
        <v>526.270590646976</v>
      </c>
    </row>
    <row r="137" spans="1:16" s="22" customFormat="1" ht="12.75">
      <c r="A137" s="20" t="s">
        <v>1023</v>
      </c>
      <c r="B137" s="19"/>
      <c r="C137" s="69"/>
      <c r="D137" s="66"/>
      <c r="E137" s="70"/>
      <c r="F137" s="43"/>
      <c r="G137" s="112"/>
      <c r="H137" s="112">
        <v>400</v>
      </c>
      <c r="I137" s="271">
        <f t="shared" si="29"/>
        <v>424</v>
      </c>
      <c r="J137" s="271">
        <f t="shared" si="23"/>
        <v>449.44</v>
      </c>
      <c r="K137" s="271">
        <f t="shared" si="24"/>
        <v>476.4064</v>
      </c>
      <c r="L137" s="271">
        <f t="shared" si="25"/>
        <v>504.990784</v>
      </c>
      <c r="M137" s="832">
        <f t="shared" si="26"/>
        <v>0.06</v>
      </c>
      <c r="O137" s="271">
        <f t="shared" si="27"/>
        <v>535.29023104</v>
      </c>
      <c r="P137" s="271">
        <f t="shared" si="28"/>
        <v>567.4076449024</v>
      </c>
    </row>
    <row r="138" spans="1:16" s="22" customFormat="1" ht="12.75">
      <c r="A138" s="20" t="s">
        <v>1024</v>
      </c>
      <c r="B138" s="19"/>
      <c r="C138" s="69"/>
      <c r="D138" s="66"/>
      <c r="E138" s="70"/>
      <c r="F138" s="43"/>
      <c r="G138" s="112"/>
      <c r="H138" s="112">
        <v>416</v>
      </c>
      <c r="I138" s="271">
        <f t="shared" si="29"/>
        <v>440.96000000000004</v>
      </c>
      <c r="J138" s="271">
        <f t="shared" si="23"/>
        <v>467.41760000000005</v>
      </c>
      <c r="K138" s="271">
        <f t="shared" si="24"/>
        <v>495.46265600000004</v>
      </c>
      <c r="L138" s="271">
        <f t="shared" si="25"/>
        <v>525.1904153600001</v>
      </c>
      <c r="M138" s="832">
        <f t="shared" si="26"/>
        <v>0.06</v>
      </c>
      <c r="O138" s="271">
        <f t="shared" si="27"/>
        <v>556.7018402816001</v>
      </c>
      <c r="P138" s="271">
        <f t="shared" si="28"/>
        <v>590.1039506984961</v>
      </c>
    </row>
    <row r="139" spans="1:16" s="22" customFormat="1" ht="12.75">
      <c r="A139" s="20" t="s">
        <v>1025</v>
      </c>
      <c r="B139" s="19"/>
      <c r="C139" s="69"/>
      <c r="D139" s="66"/>
      <c r="E139" s="70"/>
      <c r="F139" s="43"/>
      <c r="G139" s="112"/>
      <c r="H139" s="112">
        <v>225</v>
      </c>
      <c r="I139" s="271">
        <f t="shared" si="29"/>
        <v>238.5</v>
      </c>
      <c r="J139" s="271">
        <f t="shared" si="23"/>
        <v>252.81</v>
      </c>
      <c r="K139" s="271">
        <f t="shared" si="24"/>
        <v>267.97860000000003</v>
      </c>
      <c r="L139" s="271">
        <f t="shared" si="25"/>
        <v>284.057316</v>
      </c>
      <c r="M139" s="832">
        <f t="shared" si="26"/>
        <v>0.06</v>
      </c>
      <c r="O139" s="271">
        <f t="shared" si="27"/>
        <v>301.10075496</v>
      </c>
      <c r="P139" s="271">
        <f t="shared" si="28"/>
        <v>319.1668002576</v>
      </c>
    </row>
    <row r="140" spans="1:16" s="22" customFormat="1" ht="12.75">
      <c r="A140" s="20" t="s">
        <v>1021</v>
      </c>
      <c r="B140" s="19"/>
      <c r="C140" s="69"/>
      <c r="D140" s="66"/>
      <c r="E140" s="70">
        <v>630</v>
      </c>
      <c r="F140" s="43">
        <v>0</v>
      </c>
      <c r="G140" s="112">
        <v>728.0280000000001</v>
      </c>
      <c r="H140" s="112">
        <f>G140*1.06</f>
        <v>771.7096800000002</v>
      </c>
      <c r="I140" s="271">
        <f t="shared" si="29"/>
        <v>818.0122608000003</v>
      </c>
      <c r="J140" s="271">
        <f aca="true" t="shared" si="30" ref="J140:K143">(I140*$M$12)+I140</f>
        <v>867.0929964480002</v>
      </c>
      <c r="K140" s="271">
        <f t="shared" si="30"/>
        <v>919.1185762348803</v>
      </c>
      <c r="L140" s="271">
        <f>(K140*M140)+K140</f>
        <v>974.2656908089731</v>
      </c>
      <c r="M140" s="832">
        <f>$M$7</f>
        <v>0.06</v>
      </c>
      <c r="O140" s="271">
        <f>(L140*$O$7)+L140</f>
        <v>1032.7216322575114</v>
      </c>
      <c r="P140" s="271">
        <f>(O140*$P$7)+O140</f>
        <v>1094.6849301929622</v>
      </c>
    </row>
    <row r="141" spans="1:16" s="22" customFormat="1" ht="12.75">
      <c r="A141" s="20" t="s">
        <v>1022</v>
      </c>
      <c r="B141" s="19"/>
      <c r="C141" s="69"/>
      <c r="D141" s="66"/>
      <c r="E141" s="71">
        <v>620</v>
      </c>
      <c r="F141" s="43">
        <v>0</v>
      </c>
      <c r="G141" s="112">
        <v>716.4720000000001</v>
      </c>
      <c r="H141" s="112">
        <f>G141*1.06</f>
        <v>759.4603200000001</v>
      </c>
      <c r="I141" s="271">
        <f t="shared" si="29"/>
        <v>805.0279392000002</v>
      </c>
      <c r="J141" s="271">
        <f t="shared" si="30"/>
        <v>853.3296155520002</v>
      </c>
      <c r="K141" s="271">
        <f t="shared" si="30"/>
        <v>904.5293924851202</v>
      </c>
      <c r="L141" s="271">
        <f>(K141*M141)+K141</f>
        <v>958.8011560342273</v>
      </c>
      <c r="M141" s="832">
        <f>$M$7</f>
        <v>0.06</v>
      </c>
      <c r="O141" s="271">
        <f>(L141*$O$7)+L141</f>
        <v>1016.329225396281</v>
      </c>
      <c r="P141" s="271">
        <f>(O141*$P$7)+O141</f>
        <v>1077.3089789200578</v>
      </c>
    </row>
    <row r="142" spans="1:16" s="22" customFormat="1" ht="12.75">
      <c r="A142" s="20" t="s">
        <v>778</v>
      </c>
      <c r="B142" s="19"/>
      <c r="C142" s="69"/>
      <c r="D142" s="66"/>
      <c r="E142" s="71">
        <v>290</v>
      </c>
      <c r="F142" s="84">
        <v>0</v>
      </c>
      <c r="G142" s="66">
        <v>335.1240000000001</v>
      </c>
      <c r="H142" s="66">
        <f>G142*1.06</f>
        <v>355.2314400000001</v>
      </c>
      <c r="I142" s="271">
        <f t="shared" si="29"/>
        <v>376.5453264000001</v>
      </c>
      <c r="J142" s="271">
        <f t="shared" si="30"/>
        <v>399.1380459840001</v>
      </c>
      <c r="K142" s="271">
        <f t="shared" si="30"/>
        <v>423.0863287430401</v>
      </c>
      <c r="L142" s="271">
        <f>(K142*M142)+K142</f>
        <v>448.4715084676225</v>
      </c>
      <c r="M142" s="832">
        <f>$M$7</f>
        <v>0.06</v>
      </c>
      <c r="O142" s="271">
        <f>(L142*$O$7)+L142</f>
        <v>475.3797989756799</v>
      </c>
      <c r="P142" s="271">
        <f>(O142*$P$7)+O142</f>
        <v>503.90258691422065</v>
      </c>
    </row>
    <row r="143" spans="1:16" s="22" customFormat="1" ht="12.75">
      <c r="A143" s="20" t="s">
        <v>777</v>
      </c>
      <c r="B143" s="19"/>
      <c r="C143" s="69"/>
      <c r="D143" s="66"/>
      <c r="E143" s="71">
        <v>1240</v>
      </c>
      <c r="F143" s="84">
        <v>0</v>
      </c>
      <c r="G143" s="66">
        <v>1432.9440000000002</v>
      </c>
      <c r="H143" s="66">
        <v>355</v>
      </c>
      <c r="I143" s="271">
        <f t="shared" si="29"/>
        <v>376.3</v>
      </c>
      <c r="J143" s="271">
        <f t="shared" si="30"/>
        <v>398.878</v>
      </c>
      <c r="K143" s="271">
        <f t="shared" si="30"/>
        <v>422.81068</v>
      </c>
      <c r="L143" s="271">
        <f>(K143*M143)+K143</f>
        <v>448.17932079999997</v>
      </c>
      <c r="M143" s="832">
        <f>$M$7</f>
        <v>0.06</v>
      </c>
      <c r="O143" s="271">
        <f>(L143*$O$7)+L143</f>
        <v>475.07008004799997</v>
      </c>
      <c r="P143" s="271">
        <f>(O143*$P$7)+O143</f>
        <v>503.57428485087996</v>
      </c>
    </row>
    <row r="144" spans="1:15" s="41" customFormat="1" ht="15">
      <c r="A144" s="22"/>
      <c r="C144" s="80"/>
      <c r="D144" s="66"/>
      <c r="E144" s="70"/>
      <c r="G144" s="102"/>
      <c r="H144" s="23"/>
      <c r="I144" s="271"/>
      <c r="J144" s="271"/>
      <c r="K144" s="271"/>
      <c r="L144" s="271"/>
      <c r="M144" s="832"/>
      <c r="O144" s="271"/>
    </row>
    <row r="145" spans="1:15" s="22" customFormat="1" ht="12.75">
      <c r="A145" s="22" t="s">
        <v>475</v>
      </c>
      <c r="C145" s="69"/>
      <c r="D145" s="66"/>
      <c r="E145" s="70"/>
      <c r="G145" s="102"/>
      <c r="H145" s="23"/>
      <c r="I145" s="271"/>
      <c r="J145" s="271"/>
      <c r="K145" s="271"/>
      <c r="L145" s="271"/>
      <c r="M145" s="832"/>
      <c r="O145" s="271"/>
    </row>
    <row r="146" spans="1:16" s="22" customFormat="1" ht="12.75">
      <c r="A146" s="22" t="s">
        <v>271</v>
      </c>
      <c r="B146" s="69">
        <v>593.46432</v>
      </c>
      <c r="C146" s="82">
        <f>B146*1.1</f>
        <v>652.8107520000001</v>
      </c>
      <c r="D146" s="175">
        <f>C146*1.1</f>
        <v>718.0918272000001</v>
      </c>
      <c r="E146" s="175">
        <f>D146*1.1</f>
        <v>789.9010099200002</v>
      </c>
      <c r="F146" s="84">
        <f>(E146-D146)/D146</f>
        <v>0.10000000000000009</v>
      </c>
      <c r="G146" s="841">
        <v>929.7134886758404</v>
      </c>
      <c r="H146" s="175">
        <f>G146*1.06</f>
        <v>985.4962979963908</v>
      </c>
      <c r="I146" s="831">
        <f>H146*1.06</f>
        <v>1044.6260758761744</v>
      </c>
      <c r="J146" s="831">
        <f>(I146*$M$12)+I146</f>
        <v>1107.3036404287448</v>
      </c>
      <c r="K146" s="831">
        <f>(J146*$M$12)+J146</f>
        <v>1173.7418588544695</v>
      </c>
      <c r="L146" s="831"/>
      <c r="M146" s="953"/>
      <c r="O146" s="831"/>
      <c r="P146" s="831"/>
    </row>
    <row r="147" spans="1:16" s="868" customFormat="1" ht="12.75">
      <c r="A147" s="868" t="s">
        <v>822</v>
      </c>
      <c r="B147" s="838"/>
      <c r="C147" s="869"/>
      <c r="D147" s="530"/>
      <c r="E147" s="530"/>
      <c r="F147" s="870"/>
      <c r="G147" s="871"/>
      <c r="H147" s="530"/>
      <c r="I147" s="872"/>
      <c r="J147" s="872"/>
      <c r="K147" s="872" t="s">
        <v>1152</v>
      </c>
      <c r="L147" s="872">
        <v>1244</v>
      </c>
      <c r="M147" s="873"/>
      <c r="O147" s="872">
        <f aca="true" t="shared" si="31" ref="O147:O187">(L147*$O$7)+L147</f>
        <v>1318.64</v>
      </c>
      <c r="P147" s="872">
        <f aca="true" t="shared" si="32" ref="P147:P211">(O147*$P$7)+O147</f>
        <v>1397.7584000000002</v>
      </c>
    </row>
    <row r="148" spans="1:16" s="868" customFormat="1" ht="12.75">
      <c r="A148" s="868" t="s">
        <v>823</v>
      </c>
      <c r="B148" s="838"/>
      <c r="C148" s="869"/>
      <c r="D148" s="530"/>
      <c r="E148" s="530"/>
      <c r="F148" s="870"/>
      <c r="G148" s="871"/>
      <c r="H148" s="530"/>
      <c r="I148" s="872"/>
      <c r="J148" s="872"/>
      <c r="K148" s="872" t="s">
        <v>1152</v>
      </c>
      <c r="L148" s="872">
        <v>1368</v>
      </c>
      <c r="M148" s="873"/>
      <c r="O148" s="872">
        <f t="shared" si="31"/>
        <v>1450.08</v>
      </c>
      <c r="P148" s="872">
        <f t="shared" si="32"/>
        <v>1537.0847999999999</v>
      </c>
    </row>
    <row r="149" spans="1:16" s="868" customFormat="1" ht="12.75">
      <c r="A149" s="868" t="s">
        <v>817</v>
      </c>
      <c r="B149" s="838"/>
      <c r="C149" s="869"/>
      <c r="D149" s="530"/>
      <c r="E149" s="530"/>
      <c r="F149" s="870"/>
      <c r="G149" s="871"/>
      <c r="H149" s="530"/>
      <c r="I149" s="872"/>
      <c r="J149" s="872"/>
      <c r="K149" s="872" t="s">
        <v>1152</v>
      </c>
      <c r="L149" s="872">
        <v>1368</v>
      </c>
      <c r="M149" s="873"/>
      <c r="O149" s="872">
        <f t="shared" si="31"/>
        <v>1450.08</v>
      </c>
      <c r="P149" s="872">
        <f t="shared" si="32"/>
        <v>1537.0847999999999</v>
      </c>
    </row>
    <row r="150" spans="1:16" s="868" customFormat="1" ht="12.75">
      <c r="A150" s="868" t="s">
        <v>818</v>
      </c>
      <c r="B150" s="838"/>
      <c r="C150" s="869"/>
      <c r="D150" s="530"/>
      <c r="E150" s="530"/>
      <c r="F150" s="870"/>
      <c r="G150" s="871"/>
      <c r="H150" s="530"/>
      <c r="I150" s="872"/>
      <c r="J150" s="872"/>
      <c r="K150" s="872" t="s">
        <v>1152</v>
      </c>
      <c r="L150" s="872">
        <v>1368</v>
      </c>
      <c r="M150" s="873"/>
      <c r="O150" s="872">
        <f t="shared" si="31"/>
        <v>1450.08</v>
      </c>
      <c r="P150" s="872">
        <f t="shared" si="32"/>
        <v>1537.0847999999999</v>
      </c>
    </row>
    <row r="151" spans="1:16" s="868" customFormat="1" ht="12.75">
      <c r="A151" s="868" t="s">
        <v>820</v>
      </c>
      <c r="B151" s="838"/>
      <c r="C151" s="869"/>
      <c r="D151" s="530"/>
      <c r="E151" s="530"/>
      <c r="F151" s="870"/>
      <c r="G151" s="871"/>
      <c r="H151" s="530"/>
      <c r="I151" s="872"/>
      <c r="J151" s="872"/>
      <c r="K151" s="872" t="s">
        <v>1152</v>
      </c>
      <c r="L151" s="872">
        <v>1368</v>
      </c>
      <c r="M151" s="873"/>
      <c r="O151" s="872">
        <f t="shared" si="31"/>
        <v>1450.08</v>
      </c>
      <c r="P151" s="872">
        <f t="shared" si="32"/>
        <v>1537.0847999999999</v>
      </c>
    </row>
    <row r="152" spans="1:16" s="868" customFormat="1" ht="12.75">
      <c r="A152" s="868" t="s">
        <v>1404</v>
      </c>
      <c r="B152" s="838"/>
      <c r="C152" s="869"/>
      <c r="D152" s="530"/>
      <c r="E152" s="530"/>
      <c r="F152" s="870"/>
      <c r="G152" s="871"/>
      <c r="H152" s="530"/>
      <c r="I152" s="872"/>
      <c r="J152" s="872"/>
      <c r="K152" s="872" t="s">
        <v>1152</v>
      </c>
      <c r="L152" s="872">
        <v>1244</v>
      </c>
      <c r="M152" s="873"/>
      <c r="O152" s="872">
        <f t="shared" si="31"/>
        <v>1318.64</v>
      </c>
      <c r="P152" s="872">
        <f t="shared" si="32"/>
        <v>1397.7584000000002</v>
      </c>
    </row>
    <row r="153" spans="1:16" s="868" customFormat="1" ht="12.75">
      <c r="A153" s="868" t="s">
        <v>819</v>
      </c>
      <c r="B153" s="838"/>
      <c r="C153" s="869"/>
      <c r="D153" s="530"/>
      <c r="E153" s="530"/>
      <c r="F153" s="870"/>
      <c r="G153" s="871"/>
      <c r="H153" s="530"/>
      <c r="I153" s="872"/>
      <c r="J153" s="872"/>
      <c r="K153" s="872" t="s">
        <v>1152</v>
      </c>
      <c r="L153" s="872">
        <v>1368</v>
      </c>
      <c r="M153" s="873"/>
      <c r="O153" s="872">
        <f t="shared" si="31"/>
        <v>1450.08</v>
      </c>
      <c r="P153" s="872">
        <f t="shared" si="32"/>
        <v>1537.0847999999999</v>
      </c>
    </row>
    <row r="154" spans="1:16" s="22" customFormat="1" ht="12.75">
      <c r="A154" s="22" t="s">
        <v>273</v>
      </c>
      <c r="B154" s="69">
        <v>457.4620800000001</v>
      </c>
      <c r="C154" s="82">
        <f>B154*1.1</f>
        <v>503.2082880000002</v>
      </c>
      <c r="D154" s="175">
        <f>C154*1.1</f>
        <v>553.5291168000002</v>
      </c>
      <c r="E154" s="175">
        <f>D154*1.1</f>
        <v>608.8820284800003</v>
      </c>
      <c r="F154" s="84">
        <f>(E154-D154)/D154</f>
        <v>0.10000000000000002</v>
      </c>
      <c r="G154" s="841">
        <v>716.6541475209605</v>
      </c>
      <c r="H154" s="175">
        <f>G154*1.06</f>
        <v>759.6533963722181</v>
      </c>
      <c r="I154" s="831">
        <f>H154*1.06</f>
        <v>805.2326001545513</v>
      </c>
      <c r="J154" s="831">
        <f>(I154*$M$12)+I154</f>
        <v>853.5465561638243</v>
      </c>
      <c r="K154" s="831">
        <f>(J154*$M$12)+J154</f>
        <v>904.7593495336538</v>
      </c>
      <c r="L154" s="831"/>
      <c r="M154" s="953"/>
      <c r="O154" s="831"/>
      <c r="P154" s="831"/>
    </row>
    <row r="155" spans="1:16" s="868" customFormat="1" ht="12.75">
      <c r="A155" s="868" t="s">
        <v>822</v>
      </c>
      <c r="B155" s="838"/>
      <c r="C155" s="869"/>
      <c r="D155" s="530"/>
      <c r="E155" s="530"/>
      <c r="F155" s="870"/>
      <c r="G155" s="871"/>
      <c r="H155" s="530"/>
      <c r="I155" s="872"/>
      <c r="J155" s="872"/>
      <c r="K155" s="872" t="s">
        <v>1152</v>
      </c>
      <c r="L155" s="872">
        <v>959</v>
      </c>
      <c r="M155" s="873"/>
      <c r="O155" s="872">
        <f t="shared" si="31"/>
        <v>1016.54</v>
      </c>
      <c r="P155" s="872">
        <f t="shared" si="32"/>
        <v>1077.5324</v>
      </c>
    </row>
    <row r="156" spans="1:16" s="868" customFormat="1" ht="12.75">
      <c r="A156" s="868" t="s">
        <v>823</v>
      </c>
      <c r="B156" s="838"/>
      <c r="C156" s="869"/>
      <c r="D156" s="530"/>
      <c r="E156" s="530"/>
      <c r="F156" s="870"/>
      <c r="G156" s="871"/>
      <c r="H156" s="530"/>
      <c r="I156" s="872"/>
      <c r="J156" s="872"/>
      <c r="K156" s="872" t="s">
        <v>1152</v>
      </c>
      <c r="L156" s="872">
        <v>959</v>
      </c>
      <c r="M156" s="873"/>
      <c r="O156" s="872">
        <f t="shared" si="31"/>
        <v>1016.54</v>
      </c>
      <c r="P156" s="872">
        <f t="shared" si="32"/>
        <v>1077.5324</v>
      </c>
    </row>
    <row r="157" spans="1:16" s="868" customFormat="1" ht="12.75">
      <c r="A157" s="868" t="s">
        <v>817</v>
      </c>
      <c r="B157" s="838"/>
      <c r="C157" s="869"/>
      <c r="D157" s="530"/>
      <c r="E157" s="530"/>
      <c r="F157" s="870"/>
      <c r="G157" s="871"/>
      <c r="H157" s="530"/>
      <c r="I157" s="872"/>
      <c r="J157" s="872"/>
      <c r="K157" s="872" t="s">
        <v>1152</v>
      </c>
      <c r="L157" s="872">
        <v>1055</v>
      </c>
      <c r="M157" s="873"/>
      <c r="O157" s="872">
        <f t="shared" si="31"/>
        <v>1118.3</v>
      </c>
      <c r="P157" s="872">
        <f t="shared" si="32"/>
        <v>1185.398</v>
      </c>
    </row>
    <row r="158" spans="1:16" s="868" customFormat="1" ht="12.75">
      <c r="A158" s="868" t="s">
        <v>818</v>
      </c>
      <c r="B158" s="838"/>
      <c r="C158" s="869"/>
      <c r="D158" s="530"/>
      <c r="E158" s="530"/>
      <c r="F158" s="870"/>
      <c r="G158" s="871"/>
      <c r="H158" s="530"/>
      <c r="I158" s="872"/>
      <c r="J158" s="872"/>
      <c r="K158" s="872" t="s">
        <v>1152</v>
      </c>
      <c r="L158" s="872">
        <v>1055</v>
      </c>
      <c r="M158" s="873"/>
      <c r="O158" s="872">
        <f t="shared" si="31"/>
        <v>1118.3</v>
      </c>
      <c r="P158" s="872">
        <f t="shared" si="32"/>
        <v>1185.398</v>
      </c>
    </row>
    <row r="159" spans="1:16" s="868" customFormat="1" ht="12.75">
      <c r="A159" s="868" t="s">
        <v>820</v>
      </c>
      <c r="B159" s="838"/>
      <c r="C159" s="869"/>
      <c r="D159" s="530"/>
      <c r="E159" s="530"/>
      <c r="F159" s="870"/>
      <c r="G159" s="871"/>
      <c r="H159" s="530"/>
      <c r="I159" s="872"/>
      <c r="J159" s="872"/>
      <c r="K159" s="872" t="s">
        <v>1152</v>
      </c>
      <c r="L159" s="872">
        <v>1055</v>
      </c>
      <c r="M159" s="873"/>
      <c r="O159" s="872">
        <f t="shared" si="31"/>
        <v>1118.3</v>
      </c>
      <c r="P159" s="872">
        <f t="shared" si="32"/>
        <v>1185.398</v>
      </c>
    </row>
    <row r="160" spans="1:16" s="868" customFormat="1" ht="12.75">
      <c r="A160" s="868" t="s">
        <v>1404</v>
      </c>
      <c r="B160" s="838"/>
      <c r="C160" s="869"/>
      <c r="D160" s="530"/>
      <c r="E160" s="530"/>
      <c r="F160" s="870"/>
      <c r="G160" s="871"/>
      <c r="H160" s="530"/>
      <c r="I160" s="872"/>
      <c r="J160" s="872"/>
      <c r="K160" s="872" t="s">
        <v>1152</v>
      </c>
      <c r="L160" s="872">
        <v>959</v>
      </c>
      <c r="M160" s="873"/>
      <c r="O160" s="872">
        <f t="shared" si="31"/>
        <v>1016.54</v>
      </c>
      <c r="P160" s="872">
        <f t="shared" si="32"/>
        <v>1077.5324</v>
      </c>
    </row>
    <row r="161" spans="1:16" s="868" customFormat="1" ht="12.75">
      <c r="A161" s="868" t="s">
        <v>819</v>
      </c>
      <c r="B161" s="838"/>
      <c r="C161" s="869"/>
      <c r="D161" s="530"/>
      <c r="E161" s="530"/>
      <c r="F161" s="870"/>
      <c r="G161" s="871"/>
      <c r="H161" s="530"/>
      <c r="I161" s="872"/>
      <c r="J161" s="872"/>
      <c r="K161" s="872" t="s">
        <v>1152</v>
      </c>
      <c r="L161" s="872">
        <v>1055</v>
      </c>
      <c r="M161" s="873"/>
      <c r="O161" s="872">
        <f t="shared" si="31"/>
        <v>1118.3</v>
      </c>
      <c r="P161" s="872">
        <f t="shared" si="32"/>
        <v>1185.398</v>
      </c>
    </row>
    <row r="162" spans="1:16" s="22" customFormat="1" ht="12.75">
      <c r="A162" s="22" t="s">
        <v>274</v>
      </c>
      <c r="B162" s="69">
        <v>717.1027200000002</v>
      </c>
      <c r="C162" s="82">
        <f>B162*1.1</f>
        <v>788.8129920000002</v>
      </c>
      <c r="D162" s="175">
        <f>C162*1.1</f>
        <v>867.6942912000003</v>
      </c>
      <c r="E162" s="175">
        <f>D162*1.1</f>
        <v>954.4637203200004</v>
      </c>
      <c r="F162" s="84">
        <f>(E162-D162)/D162</f>
        <v>0.10000000000000014</v>
      </c>
      <c r="G162" s="841">
        <v>1123.4037988166408</v>
      </c>
      <c r="H162" s="175">
        <f>G162*1.06</f>
        <v>1190.8080267456394</v>
      </c>
      <c r="I162" s="831">
        <f>H162*1.06</f>
        <v>1262.2565083503778</v>
      </c>
      <c r="J162" s="831">
        <f>(I162*$M$12)+I162</f>
        <v>1337.9918988514005</v>
      </c>
      <c r="K162" s="831">
        <f>(J162*$M$12)+J162</f>
        <v>1418.2714127824845</v>
      </c>
      <c r="L162" s="831"/>
      <c r="M162" s="953"/>
      <c r="O162" s="831"/>
      <c r="P162" s="831"/>
    </row>
    <row r="163" spans="1:16" s="868" customFormat="1" ht="12.75">
      <c r="A163" s="868" t="s">
        <v>822</v>
      </c>
      <c r="B163" s="838"/>
      <c r="C163" s="869"/>
      <c r="D163" s="530"/>
      <c r="E163" s="530"/>
      <c r="F163" s="870"/>
      <c r="G163" s="871"/>
      <c r="H163" s="530"/>
      <c r="I163" s="872"/>
      <c r="J163" s="872"/>
      <c r="K163" s="872" t="s">
        <v>1152</v>
      </c>
      <c r="L163" s="872">
        <v>1503</v>
      </c>
      <c r="M163" s="873"/>
      <c r="O163" s="872">
        <f t="shared" si="31"/>
        <v>1593.18</v>
      </c>
      <c r="P163" s="872">
        <f t="shared" si="32"/>
        <v>1688.7708</v>
      </c>
    </row>
    <row r="164" spans="1:16" s="868" customFormat="1" ht="12.75">
      <c r="A164" s="868" t="s">
        <v>823</v>
      </c>
      <c r="B164" s="838"/>
      <c r="C164" s="869"/>
      <c r="D164" s="530"/>
      <c r="E164" s="530"/>
      <c r="F164" s="870"/>
      <c r="G164" s="871"/>
      <c r="H164" s="530"/>
      <c r="I164" s="872"/>
      <c r="J164" s="872"/>
      <c r="K164" s="872" t="s">
        <v>1152</v>
      </c>
      <c r="L164" s="872">
        <v>1503</v>
      </c>
      <c r="M164" s="873"/>
      <c r="O164" s="872">
        <f t="shared" si="31"/>
        <v>1593.18</v>
      </c>
      <c r="P164" s="872">
        <f t="shared" si="32"/>
        <v>1688.7708</v>
      </c>
    </row>
    <row r="165" spans="1:16" s="868" customFormat="1" ht="12.75">
      <c r="A165" s="868" t="s">
        <v>817</v>
      </c>
      <c r="B165" s="838"/>
      <c r="C165" s="869"/>
      <c r="D165" s="530"/>
      <c r="E165" s="530"/>
      <c r="F165" s="870"/>
      <c r="G165" s="871"/>
      <c r="H165" s="530"/>
      <c r="I165" s="872"/>
      <c r="J165" s="872"/>
      <c r="K165" s="872" t="s">
        <v>1152</v>
      </c>
      <c r="L165" s="872">
        <v>1653</v>
      </c>
      <c r="M165" s="873"/>
      <c r="O165" s="872">
        <f t="shared" si="31"/>
        <v>1752.18</v>
      </c>
      <c r="P165" s="872">
        <f t="shared" si="32"/>
        <v>1857.3108</v>
      </c>
    </row>
    <row r="166" spans="1:16" s="868" customFormat="1" ht="12.75">
      <c r="A166" s="868" t="s">
        <v>818</v>
      </c>
      <c r="B166" s="838"/>
      <c r="C166" s="869"/>
      <c r="D166" s="530"/>
      <c r="E166" s="530"/>
      <c r="F166" s="870"/>
      <c r="G166" s="871"/>
      <c r="H166" s="530"/>
      <c r="I166" s="872"/>
      <c r="J166" s="872"/>
      <c r="K166" s="872" t="s">
        <v>1152</v>
      </c>
      <c r="L166" s="872">
        <v>1653</v>
      </c>
      <c r="M166" s="873"/>
      <c r="O166" s="872">
        <f t="shared" si="31"/>
        <v>1752.18</v>
      </c>
      <c r="P166" s="872">
        <f t="shared" si="32"/>
        <v>1857.3108</v>
      </c>
    </row>
    <row r="167" spans="1:16" s="868" customFormat="1" ht="12.75">
      <c r="A167" s="868" t="s">
        <v>820</v>
      </c>
      <c r="B167" s="838"/>
      <c r="C167" s="869"/>
      <c r="D167" s="530"/>
      <c r="E167" s="530"/>
      <c r="F167" s="870"/>
      <c r="G167" s="871"/>
      <c r="H167" s="530"/>
      <c r="I167" s="872"/>
      <c r="J167" s="872"/>
      <c r="K167" s="872" t="s">
        <v>1152</v>
      </c>
      <c r="L167" s="872">
        <v>1653</v>
      </c>
      <c r="M167" s="873"/>
      <c r="O167" s="872">
        <f t="shared" si="31"/>
        <v>1752.18</v>
      </c>
      <c r="P167" s="872">
        <f t="shared" si="32"/>
        <v>1857.3108</v>
      </c>
    </row>
    <row r="168" spans="1:16" s="868" customFormat="1" ht="12.75">
      <c r="A168" s="868" t="s">
        <v>819</v>
      </c>
      <c r="B168" s="838"/>
      <c r="C168" s="869"/>
      <c r="D168" s="530"/>
      <c r="E168" s="530"/>
      <c r="F168" s="870"/>
      <c r="G168" s="871"/>
      <c r="H168" s="530"/>
      <c r="I168" s="872"/>
      <c r="J168" s="872"/>
      <c r="K168" s="872" t="s">
        <v>1152</v>
      </c>
      <c r="L168" s="872">
        <v>1653</v>
      </c>
      <c r="M168" s="873"/>
      <c r="O168" s="872">
        <f t="shared" si="31"/>
        <v>1752.18</v>
      </c>
      <c r="P168" s="872">
        <f t="shared" si="32"/>
        <v>1857.3108</v>
      </c>
    </row>
    <row r="169" spans="1:16" s="868" customFormat="1" ht="12.75">
      <c r="A169" s="868" t="s">
        <v>1404</v>
      </c>
      <c r="B169" s="838"/>
      <c r="C169" s="869"/>
      <c r="D169" s="530"/>
      <c r="E169" s="530"/>
      <c r="F169" s="870"/>
      <c r="G169" s="871"/>
      <c r="H169" s="530"/>
      <c r="I169" s="872"/>
      <c r="J169" s="872"/>
      <c r="K169" s="872" t="s">
        <v>1152</v>
      </c>
      <c r="L169" s="872">
        <v>1503</v>
      </c>
      <c r="M169" s="873"/>
      <c r="O169" s="872">
        <f t="shared" si="31"/>
        <v>1593.18</v>
      </c>
      <c r="P169" s="872">
        <f t="shared" si="32"/>
        <v>1688.7708</v>
      </c>
    </row>
    <row r="170" spans="1:16" s="22" customFormat="1" ht="12.75">
      <c r="A170" s="22" t="s">
        <v>468</v>
      </c>
      <c r="B170" s="69">
        <v>581.1004800000001</v>
      </c>
      <c r="C170" s="82">
        <f>B170*1.1</f>
        <v>639.2105280000001</v>
      </c>
      <c r="D170" s="175">
        <f>C170*1.1</f>
        <v>703.1315808000002</v>
      </c>
      <c r="E170" s="175">
        <f>D170*1.1</f>
        <v>773.4447388800003</v>
      </c>
      <c r="F170" s="84">
        <f>(E170-D170)/D170</f>
        <v>0.10000000000000013</v>
      </c>
      <c r="G170" s="841">
        <v>910.3444576617605</v>
      </c>
      <c r="H170" s="175">
        <f>G170*1.06</f>
        <v>964.9651251214663</v>
      </c>
      <c r="I170" s="831">
        <f>H170*1.06</f>
        <v>1022.8630326287542</v>
      </c>
      <c r="J170" s="831">
        <f>(I170*$M$12)+I170</f>
        <v>1084.2348145864794</v>
      </c>
      <c r="K170" s="831">
        <f>(J170*$M$12)+J170</f>
        <v>1149.2889034616683</v>
      </c>
      <c r="L170" s="831"/>
      <c r="M170" s="953"/>
      <c r="O170" s="831"/>
      <c r="P170" s="831"/>
    </row>
    <row r="171" spans="1:16" s="868" customFormat="1" ht="12.75">
      <c r="A171" s="868" t="s">
        <v>822</v>
      </c>
      <c r="B171" s="838"/>
      <c r="C171" s="869"/>
      <c r="D171" s="530"/>
      <c r="E171" s="530"/>
      <c r="F171" s="870"/>
      <c r="G171" s="871"/>
      <c r="H171" s="530"/>
      <c r="I171" s="872"/>
      <c r="J171" s="872"/>
      <c r="K171" s="872" t="s">
        <v>1152</v>
      </c>
      <c r="L171" s="872">
        <v>1218</v>
      </c>
      <c r="M171" s="873"/>
      <c r="O171" s="872">
        <f t="shared" si="31"/>
        <v>1291.08</v>
      </c>
      <c r="P171" s="872">
        <f t="shared" si="32"/>
        <v>1368.5448</v>
      </c>
    </row>
    <row r="172" spans="1:16" s="868" customFormat="1" ht="12.75">
      <c r="A172" s="868" t="s">
        <v>823</v>
      </c>
      <c r="B172" s="838"/>
      <c r="C172" s="869"/>
      <c r="D172" s="530"/>
      <c r="E172" s="530"/>
      <c r="F172" s="870"/>
      <c r="G172" s="871"/>
      <c r="H172" s="530"/>
      <c r="I172" s="872"/>
      <c r="J172" s="872"/>
      <c r="K172" s="872" t="s">
        <v>1152</v>
      </c>
      <c r="L172" s="872">
        <v>1218</v>
      </c>
      <c r="M172" s="873"/>
      <c r="O172" s="872">
        <f t="shared" si="31"/>
        <v>1291.08</v>
      </c>
      <c r="P172" s="872">
        <f t="shared" si="32"/>
        <v>1368.5448</v>
      </c>
    </row>
    <row r="173" spans="1:16" s="868" customFormat="1" ht="12.75">
      <c r="A173" s="868" t="s">
        <v>817</v>
      </c>
      <c r="B173" s="838"/>
      <c r="C173" s="869"/>
      <c r="D173" s="530"/>
      <c r="E173" s="530"/>
      <c r="F173" s="870"/>
      <c r="G173" s="871"/>
      <c r="H173" s="530"/>
      <c r="I173" s="872"/>
      <c r="J173" s="872"/>
      <c r="K173" s="872" t="s">
        <v>1152</v>
      </c>
      <c r="L173" s="872">
        <v>1340</v>
      </c>
      <c r="M173" s="873"/>
      <c r="O173" s="872">
        <f t="shared" si="31"/>
        <v>1420.4</v>
      </c>
      <c r="P173" s="872">
        <f t="shared" si="32"/>
        <v>1505.624</v>
      </c>
    </row>
    <row r="174" spans="1:16" s="868" customFormat="1" ht="12.75">
      <c r="A174" s="868" t="s">
        <v>818</v>
      </c>
      <c r="B174" s="838"/>
      <c r="C174" s="869"/>
      <c r="D174" s="530"/>
      <c r="E174" s="530"/>
      <c r="F174" s="870"/>
      <c r="G174" s="871"/>
      <c r="H174" s="530"/>
      <c r="I174" s="872"/>
      <c r="J174" s="872"/>
      <c r="K174" s="872" t="s">
        <v>1152</v>
      </c>
      <c r="L174" s="872">
        <v>1340</v>
      </c>
      <c r="M174" s="873"/>
      <c r="O174" s="872">
        <f t="shared" si="31"/>
        <v>1420.4</v>
      </c>
      <c r="P174" s="872">
        <f t="shared" si="32"/>
        <v>1505.624</v>
      </c>
    </row>
    <row r="175" spans="1:16" s="868" customFormat="1" ht="12.75">
      <c r="A175" s="868" t="s">
        <v>820</v>
      </c>
      <c r="B175" s="838"/>
      <c r="C175" s="869"/>
      <c r="D175" s="530"/>
      <c r="E175" s="530"/>
      <c r="F175" s="870"/>
      <c r="G175" s="871"/>
      <c r="H175" s="530"/>
      <c r="I175" s="872"/>
      <c r="J175" s="872"/>
      <c r="K175" s="872" t="s">
        <v>1152</v>
      </c>
      <c r="L175" s="872">
        <v>1340</v>
      </c>
      <c r="M175" s="873"/>
      <c r="O175" s="872">
        <f t="shared" si="31"/>
        <v>1420.4</v>
      </c>
      <c r="P175" s="872">
        <f t="shared" si="32"/>
        <v>1505.624</v>
      </c>
    </row>
    <row r="176" spans="1:16" s="868" customFormat="1" ht="12.75">
      <c r="A176" s="868" t="s">
        <v>819</v>
      </c>
      <c r="B176" s="838"/>
      <c r="C176" s="869"/>
      <c r="D176" s="530"/>
      <c r="E176" s="530"/>
      <c r="F176" s="870"/>
      <c r="G176" s="871"/>
      <c r="H176" s="530"/>
      <c r="I176" s="872"/>
      <c r="J176" s="872"/>
      <c r="K176" s="872" t="s">
        <v>1152</v>
      </c>
      <c r="L176" s="872">
        <v>1340</v>
      </c>
      <c r="M176" s="873"/>
      <c r="O176" s="872">
        <f t="shared" si="31"/>
        <v>1420.4</v>
      </c>
      <c r="P176" s="872">
        <f t="shared" si="32"/>
        <v>1505.624</v>
      </c>
    </row>
    <row r="177" spans="1:16" s="868" customFormat="1" ht="12.75">
      <c r="A177" s="868" t="s">
        <v>1404</v>
      </c>
      <c r="B177" s="838"/>
      <c r="C177" s="869"/>
      <c r="D177" s="530"/>
      <c r="E177" s="530"/>
      <c r="F177" s="870"/>
      <c r="G177" s="871"/>
      <c r="H177" s="530"/>
      <c r="I177" s="872"/>
      <c r="J177" s="872"/>
      <c r="K177" s="872" t="s">
        <v>1152</v>
      </c>
      <c r="L177" s="872">
        <v>1218</v>
      </c>
      <c r="M177" s="873"/>
      <c r="O177" s="872">
        <f t="shared" si="31"/>
        <v>1291.08</v>
      </c>
      <c r="P177" s="872">
        <f t="shared" si="32"/>
        <v>1368.5448</v>
      </c>
    </row>
    <row r="178" spans="1:16" s="22" customFormat="1" ht="12.75">
      <c r="A178" s="22" t="s">
        <v>276</v>
      </c>
      <c r="B178" s="69">
        <v>581.1004800000001</v>
      </c>
      <c r="C178" s="82">
        <f>B178*1.1</f>
        <v>639.2105280000001</v>
      </c>
      <c r="D178" s="175">
        <f>C178*1.1</f>
        <v>703.1315808000002</v>
      </c>
      <c r="E178" s="175">
        <f>D178*1.1</f>
        <v>773.4447388800003</v>
      </c>
      <c r="F178" s="84">
        <f>(E178-D178)/D178</f>
        <v>0.10000000000000013</v>
      </c>
      <c r="G178" s="841">
        <v>910.3444576617605</v>
      </c>
      <c r="H178" s="175">
        <f>G178*1.06</f>
        <v>964.9651251214663</v>
      </c>
      <c r="I178" s="831">
        <f>H178*1.06</f>
        <v>1022.8630326287542</v>
      </c>
      <c r="J178" s="831">
        <f>(I178*$M$12)+I178</f>
        <v>1084.2348145864794</v>
      </c>
      <c r="K178" s="831">
        <f>(J178*$M$12)+J178</f>
        <v>1149.2889034616683</v>
      </c>
      <c r="L178" s="831"/>
      <c r="M178" s="953"/>
      <c r="O178" s="831"/>
      <c r="P178" s="831"/>
    </row>
    <row r="179" spans="1:16" s="868" customFormat="1" ht="12.75">
      <c r="A179" s="868" t="s">
        <v>822</v>
      </c>
      <c r="B179" s="838"/>
      <c r="C179" s="869"/>
      <c r="D179" s="530"/>
      <c r="E179" s="530"/>
      <c r="F179" s="870"/>
      <c r="G179" s="871"/>
      <c r="H179" s="530"/>
      <c r="I179" s="872"/>
      <c r="J179" s="872"/>
      <c r="K179" s="872" t="s">
        <v>1152</v>
      </c>
      <c r="L179" s="872">
        <v>1218</v>
      </c>
      <c r="M179" s="873"/>
      <c r="O179" s="872">
        <f t="shared" si="31"/>
        <v>1291.08</v>
      </c>
      <c r="P179" s="872">
        <f t="shared" si="32"/>
        <v>1368.5448</v>
      </c>
    </row>
    <row r="180" spans="1:16" s="868" customFormat="1" ht="12.75">
      <c r="A180" s="868" t="s">
        <v>823</v>
      </c>
      <c r="B180" s="838"/>
      <c r="C180" s="869"/>
      <c r="D180" s="530"/>
      <c r="E180" s="530"/>
      <c r="F180" s="870"/>
      <c r="G180" s="871"/>
      <c r="H180" s="530"/>
      <c r="I180" s="872"/>
      <c r="J180" s="872"/>
      <c r="K180" s="872" t="s">
        <v>1152</v>
      </c>
      <c r="L180" s="872">
        <v>1218</v>
      </c>
      <c r="M180" s="873"/>
      <c r="O180" s="872">
        <f t="shared" si="31"/>
        <v>1291.08</v>
      </c>
      <c r="P180" s="872">
        <f t="shared" si="32"/>
        <v>1368.5448</v>
      </c>
    </row>
    <row r="181" spans="1:16" s="868" customFormat="1" ht="12.75">
      <c r="A181" s="868" t="s">
        <v>817</v>
      </c>
      <c r="B181" s="838"/>
      <c r="C181" s="869"/>
      <c r="D181" s="530"/>
      <c r="E181" s="530"/>
      <c r="F181" s="870"/>
      <c r="G181" s="871"/>
      <c r="H181" s="530"/>
      <c r="I181" s="872"/>
      <c r="J181" s="872"/>
      <c r="K181" s="872" t="s">
        <v>1152</v>
      </c>
      <c r="L181" s="872">
        <v>1340</v>
      </c>
      <c r="M181" s="873"/>
      <c r="O181" s="872">
        <f t="shared" si="31"/>
        <v>1420.4</v>
      </c>
      <c r="P181" s="872">
        <f t="shared" si="32"/>
        <v>1505.624</v>
      </c>
    </row>
    <row r="182" spans="1:16" s="868" customFormat="1" ht="12.75">
      <c r="A182" s="868" t="s">
        <v>818</v>
      </c>
      <c r="B182" s="838"/>
      <c r="C182" s="869"/>
      <c r="D182" s="530"/>
      <c r="E182" s="530"/>
      <c r="F182" s="870"/>
      <c r="G182" s="871"/>
      <c r="H182" s="530"/>
      <c r="I182" s="872"/>
      <c r="J182" s="872"/>
      <c r="K182" s="872" t="s">
        <v>1152</v>
      </c>
      <c r="L182" s="872">
        <v>1340</v>
      </c>
      <c r="M182" s="873"/>
      <c r="O182" s="872">
        <f t="shared" si="31"/>
        <v>1420.4</v>
      </c>
      <c r="P182" s="872">
        <f t="shared" si="32"/>
        <v>1505.624</v>
      </c>
    </row>
    <row r="183" spans="1:16" s="868" customFormat="1" ht="12.75">
      <c r="A183" s="868" t="s">
        <v>820</v>
      </c>
      <c r="B183" s="838"/>
      <c r="C183" s="869"/>
      <c r="D183" s="530"/>
      <c r="E183" s="530"/>
      <c r="F183" s="870"/>
      <c r="G183" s="871"/>
      <c r="H183" s="530"/>
      <c r="I183" s="872"/>
      <c r="J183" s="872"/>
      <c r="K183" s="872" t="s">
        <v>1152</v>
      </c>
      <c r="L183" s="872">
        <v>1340</v>
      </c>
      <c r="M183" s="873"/>
      <c r="O183" s="872">
        <f t="shared" si="31"/>
        <v>1420.4</v>
      </c>
      <c r="P183" s="872">
        <f t="shared" si="32"/>
        <v>1505.624</v>
      </c>
    </row>
    <row r="184" spans="1:16" s="868" customFormat="1" ht="12.75">
      <c r="A184" s="868" t="s">
        <v>819</v>
      </c>
      <c r="B184" s="838"/>
      <c r="C184" s="869"/>
      <c r="D184" s="530"/>
      <c r="E184" s="530"/>
      <c r="F184" s="870"/>
      <c r="G184" s="871"/>
      <c r="H184" s="530"/>
      <c r="I184" s="872"/>
      <c r="J184" s="872"/>
      <c r="K184" s="872" t="s">
        <v>1152</v>
      </c>
      <c r="L184" s="872">
        <v>1340</v>
      </c>
      <c r="M184" s="873"/>
      <c r="O184" s="872">
        <f t="shared" si="31"/>
        <v>1420.4</v>
      </c>
      <c r="P184" s="872">
        <f t="shared" si="32"/>
        <v>1505.624</v>
      </c>
    </row>
    <row r="185" spans="1:16" s="868" customFormat="1" ht="12.75">
      <c r="A185" s="868" t="s">
        <v>1404</v>
      </c>
      <c r="B185" s="838"/>
      <c r="C185" s="869"/>
      <c r="D185" s="530"/>
      <c r="E185" s="530"/>
      <c r="F185" s="870"/>
      <c r="G185" s="871"/>
      <c r="H185" s="530"/>
      <c r="I185" s="872"/>
      <c r="J185" s="872"/>
      <c r="K185" s="872" t="s">
        <v>1152</v>
      </c>
      <c r="L185" s="872">
        <v>1218</v>
      </c>
      <c r="M185" s="873"/>
      <c r="O185" s="872">
        <f t="shared" si="31"/>
        <v>1291.08</v>
      </c>
      <c r="P185" s="872">
        <f t="shared" si="32"/>
        <v>1368.5448</v>
      </c>
    </row>
    <row r="186" spans="1:16" s="22" customFormat="1" ht="12.75">
      <c r="A186" s="22" t="s">
        <v>277</v>
      </c>
      <c r="B186" s="69">
        <v>519.2812800000002</v>
      </c>
      <c r="C186" s="82">
        <f>B186*1.1</f>
        <v>571.2094080000002</v>
      </c>
      <c r="D186" s="175">
        <f>C186*1.1</f>
        <v>628.3303488000003</v>
      </c>
      <c r="E186" s="175">
        <f>D186*1.1</f>
        <v>691.1633836800004</v>
      </c>
      <c r="F186" s="84">
        <f>(E186-D186)/D186</f>
        <v>0.10000000000000016</v>
      </c>
      <c r="G186" s="841">
        <v>813.4993025913606</v>
      </c>
      <c r="H186" s="841">
        <f>G186*1.06</f>
        <v>862.3092607468423</v>
      </c>
      <c r="I186" s="831">
        <f>H186*1.06</f>
        <v>914.0478163916529</v>
      </c>
      <c r="J186" s="831">
        <f>(I186*$M$12)+I186</f>
        <v>968.8906853751521</v>
      </c>
      <c r="K186" s="831">
        <f>(J186*$M$12)+J186</f>
        <v>1027.0241264976612</v>
      </c>
      <c r="L186" s="831"/>
      <c r="M186" s="953"/>
      <c r="O186" s="831"/>
      <c r="P186" s="831"/>
    </row>
    <row r="187" spans="1:16" s="868" customFormat="1" ht="12.75">
      <c r="A187" s="868" t="s">
        <v>822</v>
      </c>
      <c r="B187" s="838"/>
      <c r="C187" s="869"/>
      <c r="D187" s="530"/>
      <c r="E187" s="530"/>
      <c r="F187" s="870"/>
      <c r="G187" s="871"/>
      <c r="H187" s="871"/>
      <c r="I187" s="872"/>
      <c r="J187" s="872"/>
      <c r="K187" s="872" t="s">
        <v>1152</v>
      </c>
      <c r="L187" s="872">
        <v>1089</v>
      </c>
      <c r="M187" s="873"/>
      <c r="O187" s="872">
        <f t="shared" si="31"/>
        <v>1154.34</v>
      </c>
      <c r="P187" s="872">
        <f t="shared" si="32"/>
        <v>1223.6003999999998</v>
      </c>
    </row>
    <row r="188" spans="1:16" s="868" customFormat="1" ht="12.75">
      <c r="A188" s="868" t="s">
        <v>823</v>
      </c>
      <c r="B188" s="838"/>
      <c r="C188" s="869"/>
      <c r="D188" s="530"/>
      <c r="E188" s="530"/>
      <c r="F188" s="870"/>
      <c r="G188" s="871"/>
      <c r="H188" s="871"/>
      <c r="I188" s="872"/>
      <c r="J188" s="872"/>
      <c r="K188" s="872" t="s">
        <v>1152</v>
      </c>
      <c r="L188" s="872">
        <v>1089</v>
      </c>
      <c r="M188" s="873"/>
      <c r="O188" s="872">
        <f aca="true" t="shared" si="33" ref="O188:O219">(L188*$O$7)+L188</f>
        <v>1154.34</v>
      </c>
      <c r="P188" s="872">
        <f t="shared" si="32"/>
        <v>1223.6003999999998</v>
      </c>
    </row>
    <row r="189" spans="1:16" s="868" customFormat="1" ht="12.75">
      <c r="A189" s="868" t="s">
        <v>817</v>
      </c>
      <c r="B189" s="838"/>
      <c r="C189" s="869"/>
      <c r="D189" s="530"/>
      <c r="E189" s="530"/>
      <c r="F189" s="870"/>
      <c r="G189" s="871"/>
      <c r="H189" s="871"/>
      <c r="I189" s="872"/>
      <c r="J189" s="872"/>
      <c r="K189" s="872" t="s">
        <v>1152</v>
      </c>
      <c r="L189" s="872">
        <v>1198</v>
      </c>
      <c r="M189" s="873"/>
      <c r="O189" s="872">
        <f t="shared" si="33"/>
        <v>1269.88</v>
      </c>
      <c r="P189" s="872">
        <f t="shared" si="32"/>
        <v>1346.0728000000001</v>
      </c>
    </row>
    <row r="190" spans="1:16" s="868" customFormat="1" ht="12.75">
      <c r="A190" s="868" t="s">
        <v>818</v>
      </c>
      <c r="B190" s="838"/>
      <c r="C190" s="869"/>
      <c r="D190" s="530"/>
      <c r="E190" s="530"/>
      <c r="F190" s="870"/>
      <c r="G190" s="871"/>
      <c r="H190" s="871"/>
      <c r="I190" s="872"/>
      <c r="J190" s="872"/>
      <c r="K190" s="872" t="s">
        <v>1152</v>
      </c>
      <c r="L190" s="872">
        <v>1198</v>
      </c>
      <c r="M190" s="873"/>
      <c r="O190" s="872">
        <f t="shared" si="33"/>
        <v>1269.88</v>
      </c>
      <c r="P190" s="872">
        <f t="shared" si="32"/>
        <v>1346.0728000000001</v>
      </c>
    </row>
    <row r="191" spans="1:16" s="868" customFormat="1" ht="12.75">
      <c r="A191" s="868" t="s">
        <v>820</v>
      </c>
      <c r="B191" s="838"/>
      <c r="C191" s="869"/>
      <c r="D191" s="530"/>
      <c r="E191" s="530"/>
      <c r="F191" s="870"/>
      <c r="G191" s="871"/>
      <c r="H191" s="871"/>
      <c r="I191" s="872"/>
      <c r="J191" s="872"/>
      <c r="K191" s="872" t="s">
        <v>1152</v>
      </c>
      <c r="L191" s="872">
        <v>1198</v>
      </c>
      <c r="M191" s="873"/>
      <c r="O191" s="872">
        <f t="shared" si="33"/>
        <v>1269.88</v>
      </c>
      <c r="P191" s="872">
        <f t="shared" si="32"/>
        <v>1346.0728000000001</v>
      </c>
    </row>
    <row r="192" spans="1:16" s="868" customFormat="1" ht="12.75">
      <c r="A192" s="868" t="s">
        <v>819</v>
      </c>
      <c r="B192" s="838"/>
      <c r="C192" s="869"/>
      <c r="D192" s="530"/>
      <c r="E192" s="530"/>
      <c r="F192" s="870"/>
      <c r="G192" s="871"/>
      <c r="H192" s="871"/>
      <c r="I192" s="872"/>
      <c r="J192" s="872"/>
      <c r="K192" s="872" t="s">
        <v>1152</v>
      </c>
      <c r="L192" s="872">
        <v>1198</v>
      </c>
      <c r="M192" s="873"/>
      <c r="O192" s="872">
        <f t="shared" si="33"/>
        <v>1269.88</v>
      </c>
      <c r="P192" s="872">
        <f t="shared" si="32"/>
        <v>1346.0728000000001</v>
      </c>
    </row>
    <row r="193" spans="1:16" s="868" customFormat="1" ht="12.75">
      <c r="A193" s="868" t="s">
        <v>1404</v>
      </c>
      <c r="B193" s="838"/>
      <c r="C193" s="869"/>
      <c r="D193" s="530"/>
      <c r="E193" s="530"/>
      <c r="F193" s="870"/>
      <c r="G193" s="871"/>
      <c r="H193" s="871"/>
      <c r="I193" s="872"/>
      <c r="J193" s="872"/>
      <c r="K193" s="872" t="s">
        <v>1152</v>
      </c>
      <c r="L193" s="872">
        <v>1089</v>
      </c>
      <c r="M193" s="873"/>
      <c r="O193" s="872">
        <f t="shared" si="33"/>
        <v>1154.34</v>
      </c>
      <c r="P193" s="872">
        <f t="shared" si="32"/>
        <v>1223.6003999999998</v>
      </c>
    </row>
    <row r="194" spans="1:16" s="22" customFormat="1" ht="12.75">
      <c r="A194" s="22" t="s">
        <v>469</v>
      </c>
      <c r="B194" s="69">
        <v>380</v>
      </c>
      <c r="C194" s="82">
        <f>B194*1.1</f>
        <v>418.00000000000006</v>
      </c>
      <c r="D194" s="175">
        <f>C194*1.1</f>
        <v>459.8000000000001</v>
      </c>
      <c r="E194" s="175">
        <f>D194*1.1</f>
        <v>505.7800000000002</v>
      </c>
      <c r="F194" s="84">
        <f>(E194-D194)/D194</f>
        <v>0.10000000000000013</v>
      </c>
      <c r="G194" s="841">
        <v>595.3030600000003</v>
      </c>
      <c r="H194" s="841">
        <f>G194*1.06</f>
        <v>631.0212436000004</v>
      </c>
      <c r="I194" s="831">
        <f>H194*1.06</f>
        <v>668.8825182160004</v>
      </c>
      <c r="J194" s="831">
        <f>(I194*$M$12)+I194</f>
        <v>709.0154693089605</v>
      </c>
      <c r="K194" s="831">
        <f>(J194*$M$12)+J194</f>
        <v>751.5563974674982</v>
      </c>
      <c r="L194" s="831"/>
      <c r="M194" s="953"/>
      <c r="O194" s="831"/>
      <c r="P194" s="831"/>
    </row>
    <row r="195" spans="1:16" s="868" customFormat="1" ht="12.75">
      <c r="A195" s="868" t="s">
        <v>822</v>
      </c>
      <c r="B195" s="838"/>
      <c r="C195" s="869"/>
      <c r="D195" s="530"/>
      <c r="E195" s="530"/>
      <c r="F195" s="870"/>
      <c r="G195" s="871"/>
      <c r="H195" s="871"/>
      <c r="I195" s="872"/>
      <c r="J195" s="872"/>
      <c r="K195" s="872" t="s">
        <v>1152</v>
      </c>
      <c r="L195" s="872">
        <v>797</v>
      </c>
      <c r="M195" s="873"/>
      <c r="O195" s="872">
        <f t="shared" si="33"/>
        <v>844.82</v>
      </c>
      <c r="P195" s="872">
        <f t="shared" si="32"/>
        <v>895.5092000000001</v>
      </c>
    </row>
    <row r="196" spans="1:16" s="868" customFormat="1" ht="12.75">
      <c r="A196" s="868" t="s">
        <v>823</v>
      </c>
      <c r="B196" s="838"/>
      <c r="C196" s="869"/>
      <c r="D196" s="530"/>
      <c r="E196" s="530"/>
      <c r="F196" s="870"/>
      <c r="G196" s="871"/>
      <c r="H196" s="871"/>
      <c r="I196" s="872"/>
      <c r="J196" s="872"/>
      <c r="K196" s="872" t="s">
        <v>1152</v>
      </c>
      <c r="L196" s="872">
        <v>797</v>
      </c>
      <c r="M196" s="873"/>
      <c r="O196" s="872">
        <f t="shared" si="33"/>
        <v>844.82</v>
      </c>
      <c r="P196" s="872">
        <f t="shared" si="32"/>
        <v>895.5092000000001</v>
      </c>
    </row>
    <row r="197" spans="1:16" s="868" customFormat="1" ht="12.75">
      <c r="A197" s="868" t="s">
        <v>817</v>
      </c>
      <c r="B197" s="838"/>
      <c r="C197" s="869"/>
      <c r="D197" s="530"/>
      <c r="E197" s="530"/>
      <c r="F197" s="870"/>
      <c r="G197" s="871"/>
      <c r="H197" s="871"/>
      <c r="I197" s="872"/>
      <c r="J197" s="872"/>
      <c r="K197" s="872" t="s">
        <v>1152</v>
      </c>
      <c r="L197" s="872">
        <v>876</v>
      </c>
      <c r="M197" s="873"/>
      <c r="O197" s="872">
        <f t="shared" si="33"/>
        <v>928.56</v>
      </c>
      <c r="P197" s="872">
        <f t="shared" si="32"/>
        <v>984.2736</v>
      </c>
    </row>
    <row r="198" spans="1:16" s="868" customFormat="1" ht="12.75">
      <c r="A198" s="868" t="s">
        <v>818</v>
      </c>
      <c r="B198" s="838"/>
      <c r="C198" s="869"/>
      <c r="D198" s="530"/>
      <c r="E198" s="530"/>
      <c r="F198" s="870"/>
      <c r="G198" s="871"/>
      <c r="H198" s="871"/>
      <c r="I198" s="872"/>
      <c r="J198" s="872"/>
      <c r="K198" s="872" t="s">
        <v>1152</v>
      </c>
      <c r="L198" s="872">
        <v>876</v>
      </c>
      <c r="M198" s="873"/>
      <c r="O198" s="872">
        <f t="shared" si="33"/>
        <v>928.56</v>
      </c>
      <c r="P198" s="872">
        <f t="shared" si="32"/>
        <v>984.2736</v>
      </c>
    </row>
    <row r="199" spans="1:16" s="868" customFormat="1" ht="12.75">
      <c r="A199" s="868" t="s">
        <v>820</v>
      </c>
      <c r="B199" s="838"/>
      <c r="C199" s="869"/>
      <c r="D199" s="530"/>
      <c r="E199" s="530"/>
      <c r="F199" s="870"/>
      <c r="G199" s="871"/>
      <c r="H199" s="871"/>
      <c r="I199" s="872"/>
      <c r="J199" s="872"/>
      <c r="K199" s="872" t="s">
        <v>1152</v>
      </c>
      <c r="L199" s="872">
        <v>876</v>
      </c>
      <c r="M199" s="873"/>
      <c r="O199" s="872">
        <f t="shared" si="33"/>
        <v>928.56</v>
      </c>
      <c r="P199" s="872">
        <f t="shared" si="32"/>
        <v>984.2736</v>
      </c>
    </row>
    <row r="200" spans="1:16" s="868" customFormat="1" ht="12.75">
      <c r="A200" s="868" t="s">
        <v>819</v>
      </c>
      <c r="B200" s="838"/>
      <c r="C200" s="869"/>
      <c r="D200" s="530"/>
      <c r="E200" s="530"/>
      <c r="F200" s="870"/>
      <c r="G200" s="871"/>
      <c r="H200" s="871"/>
      <c r="I200" s="872"/>
      <c r="J200" s="872"/>
      <c r="K200" s="872" t="s">
        <v>1152</v>
      </c>
      <c r="L200" s="872">
        <v>876</v>
      </c>
      <c r="M200" s="873"/>
      <c r="O200" s="872">
        <f t="shared" si="33"/>
        <v>928.56</v>
      </c>
      <c r="P200" s="872">
        <f t="shared" si="32"/>
        <v>984.2736</v>
      </c>
    </row>
    <row r="201" spans="1:16" s="868" customFormat="1" ht="12.75">
      <c r="A201" s="868" t="s">
        <v>1404</v>
      </c>
      <c r="B201" s="838"/>
      <c r="C201" s="869"/>
      <c r="D201" s="530"/>
      <c r="E201" s="530"/>
      <c r="F201" s="870"/>
      <c r="G201" s="871"/>
      <c r="H201" s="871"/>
      <c r="I201" s="872"/>
      <c r="J201" s="872"/>
      <c r="K201" s="872" t="s">
        <v>1152</v>
      </c>
      <c r="L201" s="872">
        <v>797</v>
      </c>
      <c r="M201" s="873"/>
      <c r="O201" s="872">
        <f t="shared" si="33"/>
        <v>844.82</v>
      </c>
      <c r="P201" s="872">
        <f t="shared" si="32"/>
        <v>895.5092000000001</v>
      </c>
    </row>
    <row r="202" spans="1:16" s="22" customFormat="1" ht="12.75">
      <c r="A202" s="22" t="s">
        <v>470</v>
      </c>
      <c r="B202" s="69">
        <v>380</v>
      </c>
      <c r="C202" s="82">
        <f>B202*1.1</f>
        <v>418.00000000000006</v>
      </c>
      <c r="D202" s="175">
        <f>C202*1.1</f>
        <v>459.8000000000001</v>
      </c>
      <c r="E202" s="175">
        <f>D202*1.1</f>
        <v>505.7800000000002</v>
      </c>
      <c r="F202" s="84">
        <f>(E202-D202)/D202</f>
        <v>0.10000000000000013</v>
      </c>
      <c r="G202" s="841">
        <v>595.3030600000003</v>
      </c>
      <c r="H202" s="841">
        <f>G202*1.06</f>
        <v>631.0212436000004</v>
      </c>
      <c r="I202" s="831">
        <f>H202*1.06</f>
        <v>668.8825182160004</v>
      </c>
      <c r="J202" s="831">
        <f>(I202*$M$12)+I202</f>
        <v>709.0154693089605</v>
      </c>
      <c r="K202" s="831">
        <f>(J202*$M$12)+J202</f>
        <v>751.5563974674982</v>
      </c>
      <c r="L202" s="831"/>
      <c r="M202" s="953"/>
      <c r="O202" s="831"/>
      <c r="P202" s="831"/>
    </row>
    <row r="203" spans="1:16" s="868" customFormat="1" ht="12.75">
      <c r="A203" s="868" t="s">
        <v>822</v>
      </c>
      <c r="B203" s="838"/>
      <c r="C203" s="869"/>
      <c r="D203" s="530"/>
      <c r="E203" s="530"/>
      <c r="F203" s="870"/>
      <c r="G203" s="871"/>
      <c r="H203" s="871"/>
      <c r="I203" s="872"/>
      <c r="J203" s="872"/>
      <c r="K203" s="872" t="s">
        <v>1152</v>
      </c>
      <c r="L203" s="872">
        <v>797</v>
      </c>
      <c r="M203" s="873"/>
      <c r="O203" s="872">
        <f t="shared" si="33"/>
        <v>844.82</v>
      </c>
      <c r="P203" s="872">
        <f t="shared" si="32"/>
        <v>895.5092000000001</v>
      </c>
    </row>
    <row r="204" spans="1:16" s="868" customFormat="1" ht="12.75">
      <c r="A204" s="868" t="s">
        <v>823</v>
      </c>
      <c r="B204" s="838"/>
      <c r="C204" s="869"/>
      <c r="D204" s="530"/>
      <c r="E204" s="530"/>
      <c r="F204" s="870"/>
      <c r="G204" s="871"/>
      <c r="H204" s="871"/>
      <c r="I204" s="872"/>
      <c r="J204" s="872"/>
      <c r="K204" s="872" t="s">
        <v>1152</v>
      </c>
      <c r="L204" s="872">
        <v>797</v>
      </c>
      <c r="M204" s="873"/>
      <c r="O204" s="872">
        <f t="shared" si="33"/>
        <v>844.82</v>
      </c>
      <c r="P204" s="872">
        <f t="shared" si="32"/>
        <v>895.5092000000001</v>
      </c>
    </row>
    <row r="205" spans="1:16" s="868" customFormat="1" ht="12.75">
      <c r="A205" s="868" t="s">
        <v>817</v>
      </c>
      <c r="B205" s="838"/>
      <c r="C205" s="869"/>
      <c r="D205" s="530"/>
      <c r="E205" s="530"/>
      <c r="F205" s="870"/>
      <c r="G205" s="871"/>
      <c r="H205" s="871"/>
      <c r="I205" s="872"/>
      <c r="J205" s="872"/>
      <c r="K205" s="872" t="s">
        <v>1152</v>
      </c>
      <c r="L205" s="872">
        <v>876</v>
      </c>
      <c r="M205" s="873"/>
      <c r="O205" s="872">
        <f t="shared" si="33"/>
        <v>928.56</v>
      </c>
      <c r="P205" s="872">
        <f t="shared" si="32"/>
        <v>984.2736</v>
      </c>
    </row>
    <row r="206" spans="1:16" s="868" customFormat="1" ht="12.75">
      <c r="A206" s="868" t="s">
        <v>818</v>
      </c>
      <c r="B206" s="838"/>
      <c r="C206" s="869"/>
      <c r="D206" s="530"/>
      <c r="E206" s="530"/>
      <c r="F206" s="870"/>
      <c r="G206" s="871"/>
      <c r="H206" s="871"/>
      <c r="I206" s="872"/>
      <c r="J206" s="872"/>
      <c r="K206" s="872" t="s">
        <v>1152</v>
      </c>
      <c r="L206" s="872">
        <v>876</v>
      </c>
      <c r="M206" s="873"/>
      <c r="O206" s="872">
        <f t="shared" si="33"/>
        <v>928.56</v>
      </c>
      <c r="P206" s="872">
        <f t="shared" si="32"/>
        <v>984.2736</v>
      </c>
    </row>
    <row r="207" spans="1:16" s="868" customFormat="1" ht="12.75">
      <c r="A207" s="868" t="s">
        <v>820</v>
      </c>
      <c r="B207" s="838"/>
      <c r="C207" s="869"/>
      <c r="D207" s="530"/>
      <c r="E207" s="530"/>
      <c r="F207" s="870"/>
      <c r="G207" s="871"/>
      <c r="H207" s="871"/>
      <c r="I207" s="872"/>
      <c r="J207" s="872"/>
      <c r="K207" s="872" t="s">
        <v>1152</v>
      </c>
      <c r="L207" s="872">
        <v>876</v>
      </c>
      <c r="M207" s="873"/>
      <c r="O207" s="872">
        <f t="shared" si="33"/>
        <v>928.56</v>
      </c>
      <c r="P207" s="872">
        <f t="shared" si="32"/>
        <v>984.2736</v>
      </c>
    </row>
    <row r="208" spans="1:16" s="868" customFormat="1" ht="12.75">
      <c r="A208" s="868" t="s">
        <v>819</v>
      </c>
      <c r="B208" s="838"/>
      <c r="C208" s="869"/>
      <c r="D208" s="530"/>
      <c r="E208" s="530"/>
      <c r="F208" s="870"/>
      <c r="G208" s="871"/>
      <c r="H208" s="871"/>
      <c r="I208" s="872"/>
      <c r="J208" s="872"/>
      <c r="K208" s="872" t="s">
        <v>1152</v>
      </c>
      <c r="L208" s="872">
        <v>876</v>
      </c>
      <c r="M208" s="873"/>
      <c r="O208" s="872">
        <f t="shared" si="33"/>
        <v>928.56</v>
      </c>
      <c r="P208" s="872">
        <f t="shared" si="32"/>
        <v>984.2736</v>
      </c>
    </row>
    <row r="209" spans="1:16" s="868" customFormat="1" ht="12.75">
      <c r="A209" s="868" t="s">
        <v>1404</v>
      </c>
      <c r="B209" s="838"/>
      <c r="C209" s="869"/>
      <c r="D209" s="530"/>
      <c r="E209" s="530"/>
      <c r="F209" s="870"/>
      <c r="G209" s="871"/>
      <c r="H209" s="871"/>
      <c r="I209" s="872"/>
      <c r="J209" s="872"/>
      <c r="K209" s="872" t="s">
        <v>1152</v>
      </c>
      <c r="L209" s="872">
        <v>797</v>
      </c>
      <c r="M209" s="873"/>
      <c r="O209" s="872">
        <f t="shared" si="33"/>
        <v>844.82</v>
      </c>
      <c r="P209" s="872">
        <f t="shared" si="32"/>
        <v>895.5092000000001</v>
      </c>
    </row>
    <row r="210" spans="1:16" s="22" customFormat="1" ht="12.75">
      <c r="A210" s="22" t="s">
        <v>471</v>
      </c>
      <c r="B210" s="69">
        <v>380</v>
      </c>
      <c r="C210" s="82">
        <f>B210*1.1</f>
        <v>418.00000000000006</v>
      </c>
      <c r="D210" s="175">
        <f>C210*1.1</f>
        <v>459.8000000000001</v>
      </c>
      <c r="E210" s="175">
        <f>D210*1.1</f>
        <v>505.7800000000002</v>
      </c>
      <c r="F210" s="84">
        <f>(E210-D210)/D210</f>
        <v>0.10000000000000013</v>
      </c>
      <c r="G210" s="841">
        <v>595.3030600000003</v>
      </c>
      <c r="H210" s="841">
        <f>G210*1.06</f>
        <v>631.0212436000004</v>
      </c>
      <c r="I210" s="831">
        <f>H210*1.06</f>
        <v>668.8825182160004</v>
      </c>
      <c r="J210" s="831">
        <f>(I210*$M$12)+I210</f>
        <v>709.0154693089605</v>
      </c>
      <c r="K210" s="831">
        <f>(J210*$M$12)+J210</f>
        <v>751.5563974674982</v>
      </c>
      <c r="L210" s="831"/>
      <c r="M210" s="953"/>
      <c r="O210" s="831"/>
      <c r="P210" s="831"/>
    </row>
    <row r="211" spans="1:16" s="868" customFormat="1" ht="12.75">
      <c r="A211" s="868" t="s">
        <v>822</v>
      </c>
      <c r="B211" s="838"/>
      <c r="C211" s="869"/>
      <c r="D211" s="530"/>
      <c r="E211" s="530"/>
      <c r="F211" s="870"/>
      <c r="G211" s="871"/>
      <c r="H211" s="871"/>
      <c r="I211" s="872"/>
      <c r="J211" s="872"/>
      <c r="K211" s="872" t="s">
        <v>1152</v>
      </c>
      <c r="L211" s="872">
        <v>797</v>
      </c>
      <c r="M211" s="873"/>
      <c r="O211" s="872">
        <f t="shared" si="33"/>
        <v>844.82</v>
      </c>
      <c r="P211" s="872">
        <f t="shared" si="32"/>
        <v>895.5092000000001</v>
      </c>
    </row>
    <row r="212" spans="1:16" s="868" customFormat="1" ht="12.75">
      <c r="A212" s="868" t="s">
        <v>823</v>
      </c>
      <c r="B212" s="838"/>
      <c r="C212" s="869"/>
      <c r="D212" s="530"/>
      <c r="E212" s="530"/>
      <c r="F212" s="870"/>
      <c r="G212" s="871"/>
      <c r="H212" s="871"/>
      <c r="I212" s="872"/>
      <c r="J212" s="872"/>
      <c r="K212" s="872" t="s">
        <v>1152</v>
      </c>
      <c r="L212" s="872">
        <v>797</v>
      </c>
      <c r="M212" s="873"/>
      <c r="O212" s="872">
        <f t="shared" si="33"/>
        <v>844.82</v>
      </c>
      <c r="P212" s="872">
        <f aca="true" t="shared" si="34" ref="P212:P241">(O212*$P$7)+O212</f>
        <v>895.5092000000001</v>
      </c>
    </row>
    <row r="213" spans="1:16" s="868" customFormat="1" ht="12.75">
      <c r="A213" s="868" t="s">
        <v>817</v>
      </c>
      <c r="B213" s="838"/>
      <c r="C213" s="869"/>
      <c r="D213" s="530"/>
      <c r="E213" s="530"/>
      <c r="F213" s="870"/>
      <c r="G213" s="871"/>
      <c r="H213" s="871"/>
      <c r="I213" s="872"/>
      <c r="J213" s="872"/>
      <c r="K213" s="872" t="s">
        <v>1152</v>
      </c>
      <c r="L213" s="872">
        <v>876</v>
      </c>
      <c r="M213" s="873"/>
      <c r="O213" s="872">
        <f t="shared" si="33"/>
        <v>928.56</v>
      </c>
      <c r="P213" s="872">
        <f t="shared" si="34"/>
        <v>984.2736</v>
      </c>
    </row>
    <row r="214" spans="1:16" s="868" customFormat="1" ht="12.75">
      <c r="A214" s="868" t="s">
        <v>818</v>
      </c>
      <c r="B214" s="838"/>
      <c r="C214" s="869"/>
      <c r="D214" s="530"/>
      <c r="E214" s="530"/>
      <c r="F214" s="870"/>
      <c r="G214" s="871"/>
      <c r="H214" s="871"/>
      <c r="I214" s="872"/>
      <c r="J214" s="872"/>
      <c r="K214" s="872" t="s">
        <v>1152</v>
      </c>
      <c r="L214" s="872">
        <v>876</v>
      </c>
      <c r="M214" s="873"/>
      <c r="O214" s="872">
        <f t="shared" si="33"/>
        <v>928.56</v>
      </c>
      <c r="P214" s="872">
        <f t="shared" si="34"/>
        <v>984.2736</v>
      </c>
    </row>
    <row r="215" spans="1:16" s="868" customFormat="1" ht="12.75">
      <c r="A215" s="868" t="s">
        <v>820</v>
      </c>
      <c r="B215" s="838"/>
      <c r="C215" s="869"/>
      <c r="D215" s="530"/>
      <c r="E215" s="530"/>
      <c r="F215" s="870"/>
      <c r="G215" s="871"/>
      <c r="H215" s="871"/>
      <c r="I215" s="872"/>
      <c r="J215" s="872"/>
      <c r="K215" s="872" t="s">
        <v>1152</v>
      </c>
      <c r="L215" s="872">
        <v>876</v>
      </c>
      <c r="M215" s="873"/>
      <c r="O215" s="872">
        <f t="shared" si="33"/>
        <v>928.56</v>
      </c>
      <c r="P215" s="872">
        <f t="shared" si="34"/>
        <v>984.2736</v>
      </c>
    </row>
    <row r="216" spans="1:16" s="868" customFormat="1" ht="12.75">
      <c r="A216" s="868" t="s">
        <v>819</v>
      </c>
      <c r="B216" s="838"/>
      <c r="C216" s="869"/>
      <c r="D216" s="530"/>
      <c r="E216" s="530"/>
      <c r="F216" s="870"/>
      <c r="G216" s="871"/>
      <c r="H216" s="871"/>
      <c r="I216" s="872"/>
      <c r="J216" s="872"/>
      <c r="K216" s="872" t="s">
        <v>1152</v>
      </c>
      <c r="L216" s="872">
        <v>876</v>
      </c>
      <c r="M216" s="873"/>
      <c r="O216" s="872">
        <f t="shared" si="33"/>
        <v>928.56</v>
      </c>
      <c r="P216" s="872">
        <f t="shared" si="34"/>
        <v>984.2736</v>
      </c>
    </row>
    <row r="217" spans="1:16" s="868" customFormat="1" ht="12.75">
      <c r="A217" s="868" t="s">
        <v>1404</v>
      </c>
      <c r="B217" s="838"/>
      <c r="C217" s="869"/>
      <c r="D217" s="530"/>
      <c r="E217" s="530"/>
      <c r="F217" s="870"/>
      <c r="G217" s="871"/>
      <c r="H217" s="871"/>
      <c r="I217" s="872"/>
      <c r="J217" s="872"/>
      <c r="K217" s="872" t="s">
        <v>1152</v>
      </c>
      <c r="L217" s="872">
        <v>797</v>
      </c>
      <c r="M217" s="873"/>
      <c r="O217" s="872">
        <f t="shared" si="33"/>
        <v>844.82</v>
      </c>
      <c r="P217" s="872">
        <f t="shared" si="34"/>
        <v>895.5092000000001</v>
      </c>
    </row>
    <row r="218" spans="1:16" s="22" customFormat="1" ht="12.75">
      <c r="A218" s="22" t="s">
        <v>472</v>
      </c>
      <c r="B218" s="69">
        <v>380</v>
      </c>
      <c r="C218" s="82">
        <f>B218*1.1</f>
        <v>418.00000000000006</v>
      </c>
      <c r="D218" s="175">
        <f>C218*1.1</f>
        <v>459.8000000000001</v>
      </c>
      <c r="E218" s="175">
        <f>D218*1.1</f>
        <v>505.7800000000002</v>
      </c>
      <c r="F218" s="84">
        <f>(E218-D218)/D218</f>
        <v>0.10000000000000013</v>
      </c>
      <c r="G218" s="841">
        <v>595.3030600000003</v>
      </c>
      <c r="H218" s="841">
        <f>G218*1.06</f>
        <v>631.0212436000004</v>
      </c>
      <c r="I218" s="831">
        <f>H218*1.06</f>
        <v>668.8825182160004</v>
      </c>
      <c r="J218" s="831">
        <f>(I218*$M$12)+I218</f>
        <v>709.0154693089605</v>
      </c>
      <c r="K218" s="831">
        <f>(J218*$M$12)+J218</f>
        <v>751.5563974674982</v>
      </c>
      <c r="L218" s="831"/>
      <c r="M218" s="953"/>
      <c r="O218" s="831"/>
      <c r="P218" s="831"/>
    </row>
    <row r="219" spans="1:16" s="868" customFormat="1" ht="12.75">
      <c r="A219" s="868" t="s">
        <v>822</v>
      </c>
      <c r="B219" s="838"/>
      <c r="C219" s="869"/>
      <c r="D219" s="530"/>
      <c r="E219" s="530"/>
      <c r="F219" s="870"/>
      <c r="G219" s="871"/>
      <c r="H219" s="871"/>
      <c r="I219" s="872"/>
      <c r="J219" s="872"/>
      <c r="K219" s="872" t="s">
        <v>1152</v>
      </c>
      <c r="L219" s="872">
        <v>797</v>
      </c>
      <c r="M219" s="873"/>
      <c r="O219" s="872">
        <f t="shared" si="33"/>
        <v>844.82</v>
      </c>
      <c r="P219" s="872">
        <f t="shared" si="34"/>
        <v>895.5092000000001</v>
      </c>
    </row>
    <row r="220" spans="1:16" s="868" customFormat="1" ht="12.75">
      <c r="A220" s="868" t="s">
        <v>823</v>
      </c>
      <c r="B220" s="838"/>
      <c r="C220" s="869"/>
      <c r="D220" s="530"/>
      <c r="E220" s="530"/>
      <c r="F220" s="870"/>
      <c r="G220" s="871"/>
      <c r="H220" s="871"/>
      <c r="I220" s="872"/>
      <c r="J220" s="872"/>
      <c r="K220" s="872" t="s">
        <v>1152</v>
      </c>
      <c r="L220" s="872">
        <v>797</v>
      </c>
      <c r="M220" s="873"/>
      <c r="O220" s="872">
        <f aca="true" t="shared" si="35" ref="O220:O235">(L220*$O$7)+L220</f>
        <v>844.82</v>
      </c>
      <c r="P220" s="872">
        <f t="shared" si="34"/>
        <v>895.5092000000001</v>
      </c>
    </row>
    <row r="221" spans="1:16" s="868" customFormat="1" ht="12.75">
      <c r="A221" s="868" t="s">
        <v>817</v>
      </c>
      <c r="B221" s="838"/>
      <c r="C221" s="869"/>
      <c r="D221" s="530"/>
      <c r="E221" s="530"/>
      <c r="F221" s="870"/>
      <c r="G221" s="871"/>
      <c r="H221" s="871"/>
      <c r="I221" s="872"/>
      <c r="J221" s="872"/>
      <c r="K221" s="872" t="s">
        <v>1152</v>
      </c>
      <c r="L221" s="872">
        <v>876</v>
      </c>
      <c r="M221" s="873"/>
      <c r="O221" s="872">
        <f t="shared" si="35"/>
        <v>928.56</v>
      </c>
      <c r="P221" s="872">
        <f t="shared" si="34"/>
        <v>984.2736</v>
      </c>
    </row>
    <row r="222" spans="1:16" s="868" customFormat="1" ht="12.75">
      <c r="A222" s="868" t="s">
        <v>818</v>
      </c>
      <c r="B222" s="838"/>
      <c r="C222" s="869"/>
      <c r="D222" s="530"/>
      <c r="E222" s="530"/>
      <c r="F222" s="870"/>
      <c r="G222" s="871"/>
      <c r="H222" s="871"/>
      <c r="I222" s="872"/>
      <c r="J222" s="872"/>
      <c r="K222" s="872" t="s">
        <v>1152</v>
      </c>
      <c r="L222" s="872">
        <v>876</v>
      </c>
      <c r="M222" s="873"/>
      <c r="O222" s="872">
        <f t="shared" si="35"/>
        <v>928.56</v>
      </c>
      <c r="P222" s="872">
        <f t="shared" si="34"/>
        <v>984.2736</v>
      </c>
    </row>
    <row r="223" spans="1:16" s="868" customFormat="1" ht="12.75">
      <c r="A223" s="868" t="s">
        <v>820</v>
      </c>
      <c r="B223" s="838"/>
      <c r="C223" s="869"/>
      <c r="D223" s="530"/>
      <c r="E223" s="530"/>
      <c r="F223" s="870"/>
      <c r="G223" s="871"/>
      <c r="H223" s="871"/>
      <c r="I223" s="872"/>
      <c r="J223" s="872"/>
      <c r="K223" s="872" t="s">
        <v>1152</v>
      </c>
      <c r="L223" s="872">
        <v>876</v>
      </c>
      <c r="M223" s="873"/>
      <c r="O223" s="872">
        <f t="shared" si="35"/>
        <v>928.56</v>
      </c>
      <c r="P223" s="872">
        <f t="shared" si="34"/>
        <v>984.2736</v>
      </c>
    </row>
    <row r="224" spans="1:16" s="868" customFormat="1" ht="12.75">
      <c r="A224" s="868" t="s">
        <v>819</v>
      </c>
      <c r="B224" s="838"/>
      <c r="C224" s="869"/>
      <c r="D224" s="530"/>
      <c r="E224" s="530"/>
      <c r="F224" s="870"/>
      <c r="G224" s="871"/>
      <c r="H224" s="871"/>
      <c r="I224" s="872"/>
      <c r="J224" s="872"/>
      <c r="K224" s="872" t="s">
        <v>1152</v>
      </c>
      <c r="L224" s="872">
        <v>876</v>
      </c>
      <c r="M224" s="873"/>
      <c r="O224" s="872">
        <f t="shared" si="35"/>
        <v>928.56</v>
      </c>
      <c r="P224" s="872">
        <f t="shared" si="34"/>
        <v>984.2736</v>
      </c>
    </row>
    <row r="225" spans="1:16" s="868" customFormat="1" ht="12.75">
      <c r="A225" s="868" t="s">
        <v>1404</v>
      </c>
      <c r="B225" s="838"/>
      <c r="C225" s="869"/>
      <c r="D225" s="530"/>
      <c r="E225" s="530"/>
      <c r="F225" s="870"/>
      <c r="G225" s="871"/>
      <c r="H225" s="871"/>
      <c r="I225" s="872"/>
      <c r="J225" s="872"/>
      <c r="K225" s="872" t="s">
        <v>1152</v>
      </c>
      <c r="L225" s="872">
        <v>797</v>
      </c>
      <c r="M225" s="873"/>
      <c r="O225" s="872">
        <f t="shared" si="35"/>
        <v>844.82</v>
      </c>
      <c r="P225" s="872">
        <f t="shared" si="34"/>
        <v>895.5092000000001</v>
      </c>
    </row>
    <row r="226" spans="1:16" s="22" customFormat="1" ht="12.75">
      <c r="A226" s="22" t="s">
        <v>473</v>
      </c>
      <c r="B226" s="69">
        <v>380</v>
      </c>
      <c r="C226" s="82">
        <f>B226*1.1</f>
        <v>418.00000000000006</v>
      </c>
      <c r="D226" s="175">
        <f>C226*1.1</f>
        <v>459.8000000000001</v>
      </c>
      <c r="E226" s="175">
        <f>D226*1.1</f>
        <v>505.7800000000002</v>
      </c>
      <c r="F226" s="84">
        <f>(E226-D226)/D226</f>
        <v>0.10000000000000013</v>
      </c>
      <c r="G226" s="841">
        <v>595.3030600000003</v>
      </c>
      <c r="H226" s="841">
        <f>G226*1.06</f>
        <v>631.0212436000004</v>
      </c>
      <c r="I226" s="831">
        <f>H226*1.06</f>
        <v>668.8825182160004</v>
      </c>
      <c r="J226" s="831">
        <f>(I226*$M$12)+I226</f>
        <v>709.0154693089605</v>
      </c>
      <c r="K226" s="831">
        <f>(J226*$M$12)+J226</f>
        <v>751.5563974674982</v>
      </c>
      <c r="L226" s="831"/>
      <c r="M226" s="953"/>
      <c r="O226" s="831"/>
      <c r="P226" s="831"/>
    </row>
    <row r="227" spans="1:16" s="868" customFormat="1" ht="12.75">
      <c r="A227" s="868" t="s">
        <v>822</v>
      </c>
      <c r="B227" s="838"/>
      <c r="C227" s="869"/>
      <c r="D227" s="530"/>
      <c r="E227" s="530"/>
      <c r="F227" s="870"/>
      <c r="G227" s="871"/>
      <c r="H227" s="871"/>
      <c r="I227" s="872"/>
      <c r="J227" s="872"/>
      <c r="K227" s="872" t="s">
        <v>1152</v>
      </c>
      <c r="L227" s="872">
        <v>797</v>
      </c>
      <c r="M227" s="873"/>
      <c r="O227" s="872">
        <f t="shared" si="35"/>
        <v>844.82</v>
      </c>
      <c r="P227" s="872">
        <f t="shared" si="34"/>
        <v>895.5092000000001</v>
      </c>
    </row>
    <row r="228" spans="1:16" s="868" customFormat="1" ht="12.75">
      <c r="A228" s="868" t="s">
        <v>823</v>
      </c>
      <c r="B228" s="838"/>
      <c r="C228" s="869"/>
      <c r="D228" s="530"/>
      <c r="E228" s="530"/>
      <c r="F228" s="870"/>
      <c r="G228" s="871"/>
      <c r="H228" s="871"/>
      <c r="I228" s="872"/>
      <c r="J228" s="872"/>
      <c r="K228" s="872" t="s">
        <v>1152</v>
      </c>
      <c r="L228" s="872">
        <v>797</v>
      </c>
      <c r="M228" s="873"/>
      <c r="O228" s="872">
        <f t="shared" si="35"/>
        <v>844.82</v>
      </c>
      <c r="P228" s="872">
        <f t="shared" si="34"/>
        <v>895.5092000000001</v>
      </c>
    </row>
    <row r="229" spans="1:16" s="868" customFormat="1" ht="12.75">
      <c r="A229" s="868" t="s">
        <v>817</v>
      </c>
      <c r="B229" s="838"/>
      <c r="C229" s="869"/>
      <c r="D229" s="530"/>
      <c r="E229" s="530"/>
      <c r="F229" s="870"/>
      <c r="G229" s="871"/>
      <c r="H229" s="871"/>
      <c r="I229" s="872"/>
      <c r="J229" s="872"/>
      <c r="K229" s="872" t="s">
        <v>1152</v>
      </c>
      <c r="L229" s="872">
        <v>876</v>
      </c>
      <c r="M229" s="873"/>
      <c r="O229" s="872">
        <f t="shared" si="35"/>
        <v>928.56</v>
      </c>
      <c r="P229" s="872">
        <f t="shared" si="34"/>
        <v>984.2736</v>
      </c>
    </row>
    <row r="230" spans="1:16" s="868" customFormat="1" ht="12.75">
      <c r="A230" s="868" t="s">
        <v>818</v>
      </c>
      <c r="B230" s="838"/>
      <c r="C230" s="869"/>
      <c r="D230" s="530"/>
      <c r="E230" s="530"/>
      <c r="F230" s="870"/>
      <c r="G230" s="871"/>
      <c r="H230" s="871"/>
      <c r="I230" s="872"/>
      <c r="J230" s="872"/>
      <c r="K230" s="872" t="s">
        <v>1152</v>
      </c>
      <c r="L230" s="872">
        <v>876</v>
      </c>
      <c r="M230" s="873"/>
      <c r="O230" s="872">
        <f t="shared" si="35"/>
        <v>928.56</v>
      </c>
      <c r="P230" s="872">
        <f t="shared" si="34"/>
        <v>984.2736</v>
      </c>
    </row>
    <row r="231" spans="1:16" s="868" customFormat="1" ht="12.75">
      <c r="A231" s="868" t="s">
        <v>820</v>
      </c>
      <c r="B231" s="838"/>
      <c r="C231" s="869"/>
      <c r="D231" s="530"/>
      <c r="E231" s="530"/>
      <c r="F231" s="870"/>
      <c r="G231" s="871"/>
      <c r="H231" s="871"/>
      <c r="I231" s="872"/>
      <c r="J231" s="872"/>
      <c r="K231" s="872" t="s">
        <v>1152</v>
      </c>
      <c r="L231" s="872">
        <v>876</v>
      </c>
      <c r="M231" s="873"/>
      <c r="O231" s="872">
        <f t="shared" si="35"/>
        <v>928.56</v>
      </c>
      <c r="P231" s="872">
        <f t="shared" si="34"/>
        <v>984.2736</v>
      </c>
    </row>
    <row r="232" spans="1:16" s="868" customFormat="1" ht="12.75">
      <c r="A232" s="868" t="s">
        <v>819</v>
      </c>
      <c r="B232" s="838"/>
      <c r="C232" s="869"/>
      <c r="D232" s="530"/>
      <c r="E232" s="530"/>
      <c r="F232" s="870"/>
      <c r="G232" s="871"/>
      <c r="H232" s="871"/>
      <c r="I232" s="872"/>
      <c r="J232" s="872"/>
      <c r="K232" s="872" t="s">
        <v>1152</v>
      </c>
      <c r="L232" s="872">
        <v>876</v>
      </c>
      <c r="M232" s="873"/>
      <c r="O232" s="872">
        <f t="shared" si="35"/>
        <v>928.56</v>
      </c>
      <c r="P232" s="872">
        <f t="shared" si="34"/>
        <v>984.2736</v>
      </c>
    </row>
    <row r="233" spans="1:16" s="868" customFormat="1" ht="12.75">
      <c r="A233" s="868" t="s">
        <v>1404</v>
      </c>
      <c r="B233" s="838"/>
      <c r="C233" s="869"/>
      <c r="D233" s="530"/>
      <c r="E233" s="530"/>
      <c r="F233" s="870"/>
      <c r="G233" s="871"/>
      <c r="H233" s="871"/>
      <c r="I233" s="872"/>
      <c r="J233" s="872"/>
      <c r="K233" s="872" t="s">
        <v>1152</v>
      </c>
      <c r="L233" s="872">
        <v>797</v>
      </c>
      <c r="M233" s="873"/>
      <c r="O233" s="872">
        <f t="shared" si="35"/>
        <v>844.82</v>
      </c>
      <c r="P233" s="872">
        <f t="shared" si="34"/>
        <v>895.5092000000001</v>
      </c>
    </row>
    <row r="234" spans="1:16" s="22" customFormat="1" ht="12.75">
      <c r="A234" s="22" t="s">
        <v>474</v>
      </c>
      <c r="B234" s="69">
        <v>380</v>
      </c>
      <c r="C234" s="82">
        <f>B234*1.1</f>
        <v>418.00000000000006</v>
      </c>
      <c r="D234" s="175">
        <f>C234*1.1</f>
        <v>459.8000000000001</v>
      </c>
      <c r="E234" s="175">
        <f>D234*1.1</f>
        <v>505.7800000000002</v>
      </c>
      <c r="F234" s="84">
        <f>(E234-D234)/D234</f>
        <v>0.10000000000000013</v>
      </c>
      <c r="G234" s="841">
        <v>595.3030600000003</v>
      </c>
      <c r="H234" s="841">
        <f>G234*1.06</f>
        <v>631.0212436000004</v>
      </c>
      <c r="I234" s="831">
        <f>H234*1.06</f>
        <v>668.8825182160004</v>
      </c>
      <c r="J234" s="831">
        <f>(I234*$M$12)+I234</f>
        <v>709.0154693089605</v>
      </c>
      <c r="K234" s="831">
        <f>(J234*$M$12)+J234</f>
        <v>751.5563974674982</v>
      </c>
      <c r="L234" s="831"/>
      <c r="M234" s="953"/>
      <c r="O234" s="831"/>
      <c r="P234" s="831"/>
    </row>
    <row r="235" spans="1:16" s="868" customFormat="1" ht="12.75">
      <c r="A235" s="868" t="s">
        <v>822</v>
      </c>
      <c r="B235" s="838"/>
      <c r="C235" s="869"/>
      <c r="D235" s="530"/>
      <c r="E235" s="530"/>
      <c r="F235" s="870"/>
      <c r="G235" s="871"/>
      <c r="H235" s="871"/>
      <c r="I235" s="872"/>
      <c r="J235" s="872"/>
      <c r="K235" s="872" t="s">
        <v>1152</v>
      </c>
      <c r="L235" s="872">
        <v>797</v>
      </c>
      <c r="M235" s="873"/>
      <c r="O235" s="872">
        <f t="shared" si="35"/>
        <v>844.82</v>
      </c>
      <c r="P235" s="872">
        <f t="shared" si="34"/>
        <v>895.5092000000001</v>
      </c>
    </row>
    <row r="236" spans="1:16" s="868" customFormat="1" ht="12.75">
      <c r="A236" s="868" t="s">
        <v>823</v>
      </c>
      <c r="B236" s="838"/>
      <c r="C236" s="869"/>
      <c r="D236" s="530"/>
      <c r="E236" s="530"/>
      <c r="F236" s="870"/>
      <c r="G236" s="871"/>
      <c r="H236" s="871"/>
      <c r="I236" s="872"/>
      <c r="J236" s="872"/>
      <c r="K236" s="872" t="s">
        <v>1152</v>
      </c>
      <c r="L236" s="872">
        <v>797</v>
      </c>
      <c r="M236" s="873"/>
      <c r="O236" s="872">
        <f aca="true" t="shared" si="36" ref="O236:O241">(L236*$O$7)+L236</f>
        <v>844.82</v>
      </c>
      <c r="P236" s="872">
        <f t="shared" si="34"/>
        <v>895.5092000000001</v>
      </c>
    </row>
    <row r="237" spans="1:16" s="868" customFormat="1" ht="12.75">
      <c r="A237" s="868" t="s">
        <v>817</v>
      </c>
      <c r="B237" s="838"/>
      <c r="C237" s="869"/>
      <c r="D237" s="530"/>
      <c r="E237" s="530"/>
      <c r="F237" s="870"/>
      <c r="G237" s="871"/>
      <c r="H237" s="871"/>
      <c r="I237" s="872"/>
      <c r="J237" s="872"/>
      <c r="K237" s="872" t="s">
        <v>1152</v>
      </c>
      <c r="L237" s="872">
        <v>876</v>
      </c>
      <c r="M237" s="873"/>
      <c r="O237" s="872">
        <f t="shared" si="36"/>
        <v>928.56</v>
      </c>
      <c r="P237" s="872">
        <f t="shared" si="34"/>
        <v>984.2736</v>
      </c>
    </row>
    <row r="238" spans="1:16" s="868" customFormat="1" ht="12.75">
      <c r="A238" s="868" t="s">
        <v>818</v>
      </c>
      <c r="B238" s="838"/>
      <c r="C238" s="869"/>
      <c r="D238" s="530"/>
      <c r="E238" s="530"/>
      <c r="F238" s="870"/>
      <c r="G238" s="871"/>
      <c r="H238" s="871"/>
      <c r="I238" s="872"/>
      <c r="J238" s="872"/>
      <c r="K238" s="872" t="s">
        <v>1152</v>
      </c>
      <c r="L238" s="872">
        <v>876</v>
      </c>
      <c r="M238" s="873"/>
      <c r="O238" s="872">
        <f t="shared" si="36"/>
        <v>928.56</v>
      </c>
      <c r="P238" s="872">
        <f t="shared" si="34"/>
        <v>984.2736</v>
      </c>
    </row>
    <row r="239" spans="1:16" s="868" customFormat="1" ht="12.75">
      <c r="A239" s="868" t="s">
        <v>820</v>
      </c>
      <c r="B239" s="838"/>
      <c r="C239" s="869"/>
      <c r="D239" s="530"/>
      <c r="E239" s="530"/>
      <c r="F239" s="870"/>
      <c r="G239" s="871"/>
      <c r="H239" s="871"/>
      <c r="I239" s="872"/>
      <c r="J239" s="872"/>
      <c r="K239" s="872" t="s">
        <v>1152</v>
      </c>
      <c r="L239" s="872">
        <v>876</v>
      </c>
      <c r="M239" s="873"/>
      <c r="O239" s="872">
        <f t="shared" si="36"/>
        <v>928.56</v>
      </c>
      <c r="P239" s="872">
        <f t="shared" si="34"/>
        <v>984.2736</v>
      </c>
    </row>
    <row r="240" spans="1:16" s="868" customFormat="1" ht="12.75">
      <c r="A240" s="868" t="s">
        <v>819</v>
      </c>
      <c r="B240" s="838"/>
      <c r="C240" s="869"/>
      <c r="D240" s="530"/>
      <c r="E240" s="530"/>
      <c r="F240" s="870"/>
      <c r="G240" s="871"/>
      <c r="H240" s="871"/>
      <c r="I240" s="872"/>
      <c r="J240" s="872"/>
      <c r="K240" s="872" t="s">
        <v>1152</v>
      </c>
      <c r="L240" s="872">
        <v>876</v>
      </c>
      <c r="M240" s="873"/>
      <c r="O240" s="872">
        <f t="shared" si="36"/>
        <v>928.56</v>
      </c>
      <c r="P240" s="872">
        <f t="shared" si="34"/>
        <v>984.2736</v>
      </c>
    </row>
    <row r="241" spans="1:16" s="868" customFormat="1" ht="12.75">
      <c r="A241" s="868" t="s">
        <v>1404</v>
      </c>
      <c r="C241" s="838"/>
      <c r="D241" s="530"/>
      <c r="E241" s="874"/>
      <c r="G241" s="875"/>
      <c r="H241" s="876"/>
      <c r="I241" s="872"/>
      <c r="J241" s="872"/>
      <c r="K241" s="872" t="s">
        <v>1152</v>
      </c>
      <c r="L241" s="872">
        <v>797</v>
      </c>
      <c r="M241" s="873"/>
      <c r="O241" s="872">
        <f t="shared" si="36"/>
        <v>844.82</v>
      </c>
      <c r="P241" s="872">
        <f t="shared" si="34"/>
        <v>895.5092000000001</v>
      </c>
    </row>
    <row r="242" spans="1:15" ht="27" hidden="1">
      <c r="A242" s="541" t="s">
        <v>278</v>
      </c>
      <c r="D242" s="66"/>
      <c r="E242" s="70"/>
      <c r="H242" s="23"/>
      <c r="I242" s="271"/>
      <c r="J242" s="271"/>
      <c r="K242" s="271"/>
      <c r="L242" s="271"/>
      <c r="M242" s="832"/>
      <c r="O242" s="271"/>
    </row>
    <row r="243" spans="4:15" ht="12.75">
      <c r="D243" s="66"/>
      <c r="E243" s="70"/>
      <c r="H243" s="23"/>
      <c r="I243" s="271"/>
      <c r="J243" s="271"/>
      <c r="K243" s="271"/>
      <c r="L243" s="271"/>
      <c r="M243" s="832"/>
      <c r="O243" s="271"/>
    </row>
    <row r="244" spans="1:15" s="22" customFormat="1" ht="12.75">
      <c r="A244" s="22" t="s">
        <v>279</v>
      </c>
      <c r="C244" s="69"/>
      <c r="D244" s="66"/>
      <c r="E244" s="70"/>
      <c r="G244" s="102"/>
      <c r="H244" s="23"/>
      <c r="I244" s="271"/>
      <c r="J244" s="271"/>
      <c r="K244" s="271"/>
      <c r="L244" s="271"/>
      <c r="M244" s="832"/>
      <c r="O244" s="271"/>
    </row>
    <row r="245" spans="1:16" s="22" customFormat="1" ht="12.75">
      <c r="A245" s="22" t="s">
        <v>271</v>
      </c>
      <c r="B245" s="69">
        <v>272.00448000000006</v>
      </c>
      <c r="C245" s="82">
        <f>B245*1.1</f>
        <v>299.2049280000001</v>
      </c>
      <c r="D245" s="175">
        <f>C245*1.1</f>
        <v>329.12542080000014</v>
      </c>
      <c r="E245" s="175">
        <f>D245*1.1</f>
        <v>362.0379628800002</v>
      </c>
      <c r="F245" s="84">
        <f>(E245-D245)/D245</f>
        <v>0.10000000000000007</v>
      </c>
      <c r="G245" s="841">
        <v>426.11868230976023</v>
      </c>
      <c r="H245" s="841">
        <f>G245*1.06</f>
        <v>451.68580324834585</v>
      </c>
      <c r="I245" s="831">
        <f>H245*1.06</f>
        <v>478.7869514432466</v>
      </c>
      <c r="J245" s="831">
        <f>(I245*$M$12)+I245</f>
        <v>507.5141685298414</v>
      </c>
      <c r="K245" s="831">
        <f>(J245*$M$12)+J245</f>
        <v>537.9650186416319</v>
      </c>
      <c r="L245" s="831"/>
      <c r="M245" s="953"/>
      <c r="O245" s="831"/>
      <c r="P245" s="831"/>
    </row>
    <row r="246" spans="1:16" s="868" customFormat="1" ht="12.75">
      <c r="A246" s="868" t="s">
        <v>822</v>
      </c>
      <c r="B246" s="838"/>
      <c r="C246" s="869"/>
      <c r="D246" s="530"/>
      <c r="E246" s="530"/>
      <c r="F246" s="870"/>
      <c r="G246" s="871"/>
      <c r="H246" s="871"/>
      <c r="I246" s="872"/>
      <c r="J246" s="872"/>
      <c r="K246" s="872" t="s">
        <v>1152</v>
      </c>
      <c r="L246" s="872">
        <v>570</v>
      </c>
      <c r="M246" s="873"/>
      <c r="O246" s="872">
        <f aca="true" t="shared" si="37" ref="O246:O252">(L246*$O$7)+L246</f>
        <v>604.2</v>
      </c>
      <c r="P246" s="872">
        <f aca="true" t="shared" si="38" ref="P246:P252">(O246*$P$7)+O246</f>
        <v>640.452</v>
      </c>
    </row>
    <row r="247" spans="1:16" s="868" customFormat="1" ht="12.75">
      <c r="A247" s="868" t="s">
        <v>823</v>
      </c>
      <c r="B247" s="838"/>
      <c r="C247" s="869"/>
      <c r="D247" s="530"/>
      <c r="E247" s="530"/>
      <c r="F247" s="870"/>
      <c r="G247" s="871"/>
      <c r="H247" s="871"/>
      <c r="I247" s="872"/>
      <c r="J247" s="872"/>
      <c r="K247" s="872" t="s">
        <v>1152</v>
      </c>
      <c r="L247" s="872">
        <v>570</v>
      </c>
      <c r="M247" s="873"/>
      <c r="O247" s="872">
        <f t="shared" si="37"/>
        <v>604.2</v>
      </c>
      <c r="P247" s="872">
        <f t="shared" si="38"/>
        <v>640.452</v>
      </c>
    </row>
    <row r="248" spans="1:16" s="868" customFormat="1" ht="12.75">
      <c r="A248" s="868" t="s">
        <v>817</v>
      </c>
      <c r="B248" s="838"/>
      <c r="C248" s="869"/>
      <c r="D248" s="530"/>
      <c r="E248" s="530"/>
      <c r="F248" s="870"/>
      <c r="G248" s="871"/>
      <c r="H248" s="871"/>
      <c r="I248" s="872"/>
      <c r="J248" s="872"/>
      <c r="K248" s="872" t="s">
        <v>1152</v>
      </c>
      <c r="L248" s="872">
        <v>627</v>
      </c>
      <c r="M248" s="873"/>
      <c r="O248" s="872">
        <f t="shared" si="37"/>
        <v>664.62</v>
      </c>
      <c r="P248" s="872">
        <f t="shared" si="38"/>
        <v>704.4972</v>
      </c>
    </row>
    <row r="249" spans="1:16" s="868" customFormat="1" ht="12.75">
      <c r="A249" s="868" t="s">
        <v>818</v>
      </c>
      <c r="B249" s="838"/>
      <c r="C249" s="869"/>
      <c r="D249" s="530"/>
      <c r="E249" s="530"/>
      <c r="F249" s="870"/>
      <c r="G249" s="871"/>
      <c r="H249" s="871"/>
      <c r="I249" s="872"/>
      <c r="J249" s="872"/>
      <c r="K249" s="872" t="s">
        <v>1152</v>
      </c>
      <c r="L249" s="872">
        <v>627</v>
      </c>
      <c r="M249" s="873"/>
      <c r="O249" s="872">
        <f t="shared" si="37"/>
        <v>664.62</v>
      </c>
      <c r="P249" s="872">
        <f t="shared" si="38"/>
        <v>704.4972</v>
      </c>
    </row>
    <row r="250" spans="1:16" s="868" customFormat="1" ht="12.75">
      <c r="A250" s="868" t="s">
        <v>820</v>
      </c>
      <c r="B250" s="838"/>
      <c r="C250" s="869"/>
      <c r="D250" s="530"/>
      <c r="E250" s="530"/>
      <c r="F250" s="870"/>
      <c r="G250" s="871"/>
      <c r="H250" s="871"/>
      <c r="I250" s="872"/>
      <c r="J250" s="872"/>
      <c r="K250" s="872" t="s">
        <v>1152</v>
      </c>
      <c r="L250" s="872">
        <v>627</v>
      </c>
      <c r="M250" s="873"/>
      <c r="O250" s="872">
        <f t="shared" si="37"/>
        <v>664.62</v>
      </c>
      <c r="P250" s="872">
        <f t="shared" si="38"/>
        <v>704.4972</v>
      </c>
    </row>
    <row r="251" spans="1:16" s="868" customFormat="1" ht="12.75">
      <c r="A251" s="868" t="s">
        <v>819</v>
      </c>
      <c r="B251" s="838"/>
      <c r="C251" s="869"/>
      <c r="D251" s="530"/>
      <c r="E251" s="530"/>
      <c r="F251" s="870"/>
      <c r="G251" s="871"/>
      <c r="H251" s="871"/>
      <c r="I251" s="872"/>
      <c r="J251" s="872"/>
      <c r="K251" s="872" t="s">
        <v>1152</v>
      </c>
      <c r="L251" s="872">
        <v>627</v>
      </c>
      <c r="M251" s="873"/>
      <c r="O251" s="872">
        <f t="shared" si="37"/>
        <v>664.62</v>
      </c>
      <c r="P251" s="872">
        <f t="shared" si="38"/>
        <v>704.4972</v>
      </c>
    </row>
    <row r="252" spans="1:16" s="868" customFormat="1" ht="12.75">
      <c r="A252" s="868" t="s">
        <v>1404</v>
      </c>
      <c r="B252" s="838"/>
      <c r="C252" s="869"/>
      <c r="D252" s="530"/>
      <c r="E252" s="530"/>
      <c r="F252" s="870"/>
      <c r="G252" s="871"/>
      <c r="H252" s="871"/>
      <c r="I252" s="872"/>
      <c r="J252" s="872"/>
      <c r="K252" s="872" t="s">
        <v>1152</v>
      </c>
      <c r="L252" s="872">
        <v>570</v>
      </c>
      <c r="M252" s="873"/>
      <c r="O252" s="872">
        <f t="shared" si="37"/>
        <v>604.2</v>
      </c>
      <c r="P252" s="872">
        <f t="shared" si="38"/>
        <v>640.452</v>
      </c>
    </row>
    <row r="253" spans="1:16" s="22" customFormat="1" ht="12.75">
      <c r="A253" s="22" t="s">
        <v>273</v>
      </c>
      <c r="B253" s="69">
        <v>272.00448000000006</v>
      </c>
      <c r="C253" s="82">
        <f>B253*1.1</f>
        <v>299.2049280000001</v>
      </c>
      <c r="D253" s="175">
        <f>C253*1.1</f>
        <v>329.12542080000014</v>
      </c>
      <c r="E253" s="175">
        <f>D253*1.1</f>
        <v>362.0379628800002</v>
      </c>
      <c r="F253" s="84">
        <f>(E253-D253)/D253</f>
        <v>0.10000000000000007</v>
      </c>
      <c r="G253" s="841">
        <v>426.11868230976023</v>
      </c>
      <c r="H253" s="841">
        <f>G253*1.06</f>
        <v>451.68580324834585</v>
      </c>
      <c r="I253" s="831">
        <f>H253*1.06</f>
        <v>478.7869514432466</v>
      </c>
      <c r="J253" s="831">
        <f>(I253*$M$12)+I253</f>
        <v>507.5141685298414</v>
      </c>
      <c r="K253" s="831">
        <f>(J253*$M$12)+J253</f>
        <v>537.9650186416319</v>
      </c>
      <c r="L253" s="831"/>
      <c r="M253" s="953"/>
      <c r="O253" s="831"/>
      <c r="P253" s="831"/>
    </row>
    <row r="254" spans="1:16" s="868" customFormat="1" ht="12.75">
      <c r="A254" s="868" t="s">
        <v>822</v>
      </c>
      <c r="B254" s="838"/>
      <c r="C254" s="869"/>
      <c r="D254" s="530"/>
      <c r="E254" s="530"/>
      <c r="F254" s="870"/>
      <c r="G254" s="871"/>
      <c r="H254" s="871"/>
      <c r="I254" s="872"/>
      <c r="J254" s="872"/>
      <c r="K254" s="872" t="s">
        <v>1152</v>
      </c>
      <c r="L254" s="872">
        <v>570</v>
      </c>
      <c r="M254" s="873"/>
      <c r="O254" s="872">
        <f aca="true" t="shared" si="39" ref="O254:O260">(L254*$O$7)+L254</f>
        <v>604.2</v>
      </c>
      <c r="P254" s="872">
        <f aca="true" t="shared" si="40" ref="P254:P260">(O254*$P$7)+O254</f>
        <v>640.452</v>
      </c>
    </row>
    <row r="255" spans="1:16" s="868" customFormat="1" ht="12.75">
      <c r="A255" s="868" t="s">
        <v>823</v>
      </c>
      <c r="B255" s="838"/>
      <c r="C255" s="869"/>
      <c r="D255" s="530"/>
      <c r="E255" s="530"/>
      <c r="F255" s="870"/>
      <c r="G255" s="871"/>
      <c r="H255" s="871"/>
      <c r="I255" s="872"/>
      <c r="J255" s="872"/>
      <c r="K255" s="872" t="s">
        <v>1152</v>
      </c>
      <c r="L255" s="872">
        <v>570</v>
      </c>
      <c r="M255" s="873"/>
      <c r="O255" s="872">
        <f t="shared" si="39"/>
        <v>604.2</v>
      </c>
      <c r="P255" s="872">
        <f t="shared" si="40"/>
        <v>640.452</v>
      </c>
    </row>
    <row r="256" spans="1:16" s="868" customFormat="1" ht="12.75">
      <c r="A256" s="868" t="s">
        <v>817</v>
      </c>
      <c r="B256" s="838"/>
      <c r="C256" s="869"/>
      <c r="D256" s="530"/>
      <c r="E256" s="530"/>
      <c r="F256" s="870"/>
      <c r="G256" s="871"/>
      <c r="H256" s="871"/>
      <c r="I256" s="872"/>
      <c r="J256" s="872"/>
      <c r="K256" s="872" t="s">
        <v>1152</v>
      </c>
      <c r="L256" s="872">
        <v>627</v>
      </c>
      <c r="M256" s="873"/>
      <c r="O256" s="872">
        <f t="shared" si="39"/>
        <v>664.62</v>
      </c>
      <c r="P256" s="872">
        <f t="shared" si="40"/>
        <v>704.4972</v>
      </c>
    </row>
    <row r="257" spans="1:16" s="868" customFormat="1" ht="12.75">
      <c r="A257" s="868" t="s">
        <v>818</v>
      </c>
      <c r="B257" s="838"/>
      <c r="C257" s="869"/>
      <c r="D257" s="530"/>
      <c r="E257" s="530"/>
      <c r="F257" s="870"/>
      <c r="G257" s="871"/>
      <c r="H257" s="871"/>
      <c r="I257" s="872"/>
      <c r="J257" s="872"/>
      <c r="K257" s="872" t="s">
        <v>1152</v>
      </c>
      <c r="L257" s="872">
        <v>627</v>
      </c>
      <c r="M257" s="873"/>
      <c r="O257" s="872">
        <f t="shared" si="39"/>
        <v>664.62</v>
      </c>
      <c r="P257" s="872">
        <f t="shared" si="40"/>
        <v>704.4972</v>
      </c>
    </row>
    <row r="258" spans="1:16" s="868" customFormat="1" ht="12.75">
      <c r="A258" s="868" t="s">
        <v>820</v>
      </c>
      <c r="B258" s="838"/>
      <c r="C258" s="869"/>
      <c r="D258" s="530"/>
      <c r="E258" s="530"/>
      <c r="F258" s="870"/>
      <c r="G258" s="871"/>
      <c r="H258" s="871"/>
      <c r="I258" s="872"/>
      <c r="J258" s="872"/>
      <c r="K258" s="872" t="s">
        <v>1152</v>
      </c>
      <c r="L258" s="872">
        <v>627</v>
      </c>
      <c r="M258" s="873"/>
      <c r="O258" s="872">
        <f t="shared" si="39"/>
        <v>664.62</v>
      </c>
      <c r="P258" s="872">
        <f t="shared" si="40"/>
        <v>704.4972</v>
      </c>
    </row>
    <row r="259" spans="1:16" s="868" customFormat="1" ht="12.75">
      <c r="A259" s="868" t="s">
        <v>819</v>
      </c>
      <c r="B259" s="838"/>
      <c r="C259" s="869"/>
      <c r="D259" s="530"/>
      <c r="E259" s="530"/>
      <c r="F259" s="870"/>
      <c r="G259" s="871"/>
      <c r="H259" s="871"/>
      <c r="I259" s="872"/>
      <c r="J259" s="872"/>
      <c r="K259" s="872" t="s">
        <v>1152</v>
      </c>
      <c r="L259" s="872">
        <v>627</v>
      </c>
      <c r="M259" s="873"/>
      <c r="O259" s="872">
        <f t="shared" si="39"/>
        <v>664.62</v>
      </c>
      <c r="P259" s="872">
        <f t="shared" si="40"/>
        <v>704.4972</v>
      </c>
    </row>
    <row r="260" spans="1:16" s="868" customFormat="1" ht="12.75">
      <c r="A260" s="868" t="s">
        <v>1404</v>
      </c>
      <c r="B260" s="838"/>
      <c r="C260" s="869"/>
      <c r="D260" s="530"/>
      <c r="E260" s="530"/>
      <c r="F260" s="870"/>
      <c r="G260" s="871"/>
      <c r="H260" s="871"/>
      <c r="I260" s="872"/>
      <c r="J260" s="872"/>
      <c r="K260" s="872" t="s">
        <v>1152</v>
      </c>
      <c r="L260" s="872">
        <v>570</v>
      </c>
      <c r="M260" s="873"/>
      <c r="O260" s="872">
        <f t="shared" si="39"/>
        <v>604.2</v>
      </c>
      <c r="P260" s="872">
        <f t="shared" si="40"/>
        <v>640.452</v>
      </c>
    </row>
    <row r="261" spans="1:16" s="22" customFormat="1" ht="12.75">
      <c r="A261" s="22" t="s">
        <v>274</v>
      </c>
      <c r="B261" s="69">
        <v>272.00448000000006</v>
      </c>
      <c r="C261" s="82">
        <f>B261*1.1</f>
        <v>299.2049280000001</v>
      </c>
      <c r="D261" s="175">
        <f>C261*1.1</f>
        <v>329.12542080000014</v>
      </c>
      <c r="E261" s="175">
        <f>D261*1.1</f>
        <v>362.0379628800002</v>
      </c>
      <c r="F261" s="84">
        <f>(E261-D261)/D261</f>
        <v>0.10000000000000007</v>
      </c>
      <c r="G261" s="841">
        <v>426.11868230976023</v>
      </c>
      <c r="H261" s="841">
        <f>G261*1.06</f>
        <v>451.68580324834585</v>
      </c>
      <c r="I261" s="831">
        <f>H261*1.06</f>
        <v>478.7869514432466</v>
      </c>
      <c r="J261" s="831">
        <f>(I261*$M$12)+I261</f>
        <v>507.5141685298414</v>
      </c>
      <c r="K261" s="831">
        <f>(J261*$M$12)+J261</f>
        <v>537.9650186416319</v>
      </c>
      <c r="L261" s="831"/>
      <c r="M261" s="953"/>
      <c r="O261" s="831"/>
      <c r="P261" s="831"/>
    </row>
    <row r="262" spans="1:16" s="868" customFormat="1" ht="12.75">
      <c r="A262" s="868" t="s">
        <v>822</v>
      </c>
      <c r="B262" s="838"/>
      <c r="C262" s="869"/>
      <c r="D262" s="530"/>
      <c r="E262" s="530"/>
      <c r="F262" s="870"/>
      <c r="G262" s="871"/>
      <c r="H262" s="871"/>
      <c r="I262" s="872"/>
      <c r="J262" s="872"/>
      <c r="K262" s="872" t="s">
        <v>1152</v>
      </c>
      <c r="L262" s="872">
        <v>570</v>
      </c>
      <c r="M262" s="873"/>
      <c r="O262" s="872">
        <f aca="true" t="shared" si="41" ref="O262:O268">(L262*$O$7)+L262</f>
        <v>604.2</v>
      </c>
      <c r="P262" s="872">
        <f aca="true" t="shared" si="42" ref="P262:P268">(O262*$P$7)+O262</f>
        <v>640.452</v>
      </c>
    </row>
    <row r="263" spans="1:16" s="868" customFormat="1" ht="12.75">
      <c r="A263" s="868" t="s">
        <v>823</v>
      </c>
      <c r="B263" s="838"/>
      <c r="C263" s="869"/>
      <c r="D263" s="530"/>
      <c r="E263" s="530"/>
      <c r="F263" s="870"/>
      <c r="G263" s="871"/>
      <c r="H263" s="871"/>
      <c r="I263" s="872"/>
      <c r="J263" s="872"/>
      <c r="K263" s="872" t="s">
        <v>1152</v>
      </c>
      <c r="L263" s="872">
        <v>570</v>
      </c>
      <c r="M263" s="873"/>
      <c r="O263" s="872">
        <f t="shared" si="41"/>
        <v>604.2</v>
      </c>
      <c r="P263" s="872">
        <f t="shared" si="42"/>
        <v>640.452</v>
      </c>
    </row>
    <row r="264" spans="1:16" s="868" customFormat="1" ht="12.75">
      <c r="A264" s="868" t="s">
        <v>817</v>
      </c>
      <c r="B264" s="838"/>
      <c r="C264" s="869"/>
      <c r="D264" s="530"/>
      <c r="E264" s="530"/>
      <c r="F264" s="870"/>
      <c r="G264" s="871"/>
      <c r="H264" s="871"/>
      <c r="I264" s="872"/>
      <c r="J264" s="872"/>
      <c r="K264" s="872" t="s">
        <v>1152</v>
      </c>
      <c r="L264" s="872">
        <v>627</v>
      </c>
      <c r="M264" s="873"/>
      <c r="O264" s="872">
        <f t="shared" si="41"/>
        <v>664.62</v>
      </c>
      <c r="P264" s="872">
        <f t="shared" si="42"/>
        <v>704.4972</v>
      </c>
    </row>
    <row r="265" spans="1:16" s="868" customFormat="1" ht="12.75">
      <c r="A265" s="868" t="s">
        <v>818</v>
      </c>
      <c r="B265" s="838"/>
      <c r="C265" s="869"/>
      <c r="D265" s="530"/>
      <c r="E265" s="530"/>
      <c r="F265" s="870"/>
      <c r="G265" s="871"/>
      <c r="H265" s="871"/>
      <c r="I265" s="872"/>
      <c r="J265" s="872"/>
      <c r="K265" s="872" t="s">
        <v>1152</v>
      </c>
      <c r="L265" s="872">
        <v>627</v>
      </c>
      <c r="M265" s="873"/>
      <c r="O265" s="872">
        <f t="shared" si="41"/>
        <v>664.62</v>
      </c>
      <c r="P265" s="872">
        <f t="shared" si="42"/>
        <v>704.4972</v>
      </c>
    </row>
    <row r="266" spans="1:16" s="868" customFormat="1" ht="12.75">
      <c r="A266" s="868" t="s">
        <v>820</v>
      </c>
      <c r="B266" s="838"/>
      <c r="C266" s="869"/>
      <c r="D266" s="530"/>
      <c r="E266" s="530"/>
      <c r="F266" s="870"/>
      <c r="G266" s="871"/>
      <c r="H266" s="871"/>
      <c r="I266" s="872"/>
      <c r="J266" s="872"/>
      <c r="K266" s="872" t="s">
        <v>1152</v>
      </c>
      <c r="L266" s="872">
        <v>627</v>
      </c>
      <c r="M266" s="873"/>
      <c r="O266" s="872">
        <f t="shared" si="41"/>
        <v>664.62</v>
      </c>
      <c r="P266" s="872">
        <f t="shared" si="42"/>
        <v>704.4972</v>
      </c>
    </row>
    <row r="267" spans="1:16" s="868" customFormat="1" ht="12.75">
      <c r="A267" s="868" t="s">
        <v>819</v>
      </c>
      <c r="B267" s="838"/>
      <c r="C267" s="869"/>
      <c r="D267" s="530"/>
      <c r="E267" s="530"/>
      <c r="F267" s="870"/>
      <c r="G267" s="871"/>
      <c r="H267" s="871"/>
      <c r="I267" s="872"/>
      <c r="J267" s="872"/>
      <c r="K267" s="872" t="s">
        <v>1152</v>
      </c>
      <c r="L267" s="872">
        <v>627</v>
      </c>
      <c r="M267" s="873"/>
      <c r="O267" s="872">
        <f t="shared" si="41"/>
        <v>664.62</v>
      </c>
      <c r="P267" s="872">
        <f t="shared" si="42"/>
        <v>704.4972</v>
      </c>
    </row>
    <row r="268" spans="1:16" s="868" customFormat="1" ht="12.75">
      <c r="A268" s="868" t="s">
        <v>1404</v>
      </c>
      <c r="B268" s="838"/>
      <c r="C268" s="869"/>
      <c r="D268" s="530"/>
      <c r="E268" s="530"/>
      <c r="F268" s="870"/>
      <c r="G268" s="871"/>
      <c r="H268" s="871"/>
      <c r="I268" s="872"/>
      <c r="J268" s="872"/>
      <c r="K268" s="872" t="s">
        <v>1152</v>
      </c>
      <c r="L268" s="872">
        <v>570</v>
      </c>
      <c r="M268" s="873"/>
      <c r="O268" s="872">
        <f t="shared" si="41"/>
        <v>604.2</v>
      </c>
      <c r="P268" s="872">
        <f t="shared" si="42"/>
        <v>640.452</v>
      </c>
    </row>
    <row r="269" spans="1:16" s="22" customFormat="1" ht="12.75">
      <c r="A269" s="22" t="s">
        <v>275</v>
      </c>
      <c r="B269" s="69">
        <v>272.00448000000006</v>
      </c>
      <c r="C269" s="82">
        <f>B269*1.1</f>
        <v>299.2049280000001</v>
      </c>
      <c r="D269" s="175">
        <f>C269*1.1</f>
        <v>329.12542080000014</v>
      </c>
      <c r="E269" s="175">
        <f>D269*1.1</f>
        <v>362.0379628800002</v>
      </c>
      <c r="F269" s="84">
        <f>(E269-D269)/D269</f>
        <v>0.10000000000000007</v>
      </c>
      <c r="G269" s="841">
        <v>426.11868230976023</v>
      </c>
      <c r="H269" s="841">
        <f>G269*1.06</f>
        <v>451.68580324834585</v>
      </c>
      <c r="I269" s="831">
        <f>H269*1.06</f>
        <v>478.7869514432466</v>
      </c>
      <c r="J269" s="831">
        <f>(I269*$M$12)+I269</f>
        <v>507.5141685298414</v>
      </c>
      <c r="K269" s="831">
        <f>(J269*$M$12)+J269</f>
        <v>537.9650186416319</v>
      </c>
      <c r="L269" s="831"/>
      <c r="M269" s="953"/>
      <c r="O269" s="831"/>
      <c r="P269" s="831"/>
    </row>
    <row r="270" spans="1:16" s="868" customFormat="1" ht="12.75">
      <c r="A270" s="868" t="s">
        <v>822</v>
      </c>
      <c r="B270" s="838"/>
      <c r="C270" s="869"/>
      <c r="D270" s="530"/>
      <c r="E270" s="530"/>
      <c r="F270" s="870"/>
      <c r="G270" s="871"/>
      <c r="H270" s="871"/>
      <c r="I270" s="872"/>
      <c r="J270" s="872"/>
      <c r="K270" s="872" t="s">
        <v>1152</v>
      </c>
      <c r="L270" s="872">
        <v>570</v>
      </c>
      <c r="M270" s="873"/>
      <c r="O270" s="872">
        <f aca="true" t="shared" si="43" ref="O270:O276">(L270*$O$7)+L270</f>
        <v>604.2</v>
      </c>
      <c r="P270" s="872">
        <f aca="true" t="shared" si="44" ref="P270:P276">(O270*$P$7)+O270</f>
        <v>640.452</v>
      </c>
    </row>
    <row r="271" spans="1:16" s="868" customFormat="1" ht="12.75">
      <c r="A271" s="868" t="s">
        <v>823</v>
      </c>
      <c r="B271" s="838"/>
      <c r="C271" s="869"/>
      <c r="D271" s="530"/>
      <c r="E271" s="530"/>
      <c r="F271" s="870"/>
      <c r="G271" s="871"/>
      <c r="H271" s="871"/>
      <c r="I271" s="872"/>
      <c r="J271" s="872"/>
      <c r="K271" s="872" t="s">
        <v>1152</v>
      </c>
      <c r="L271" s="872">
        <v>570</v>
      </c>
      <c r="M271" s="873"/>
      <c r="O271" s="872">
        <f t="shared" si="43"/>
        <v>604.2</v>
      </c>
      <c r="P271" s="872">
        <f t="shared" si="44"/>
        <v>640.452</v>
      </c>
    </row>
    <row r="272" spans="1:16" s="868" customFormat="1" ht="12.75">
      <c r="A272" s="868" t="s">
        <v>817</v>
      </c>
      <c r="B272" s="838"/>
      <c r="C272" s="869"/>
      <c r="D272" s="530"/>
      <c r="E272" s="530"/>
      <c r="F272" s="870"/>
      <c r="G272" s="871"/>
      <c r="H272" s="871"/>
      <c r="I272" s="872"/>
      <c r="J272" s="872"/>
      <c r="K272" s="872" t="s">
        <v>1152</v>
      </c>
      <c r="L272" s="872">
        <v>627</v>
      </c>
      <c r="M272" s="873"/>
      <c r="O272" s="872">
        <f t="shared" si="43"/>
        <v>664.62</v>
      </c>
      <c r="P272" s="872">
        <f t="shared" si="44"/>
        <v>704.4972</v>
      </c>
    </row>
    <row r="273" spans="1:16" s="868" customFormat="1" ht="12.75">
      <c r="A273" s="868" t="s">
        <v>818</v>
      </c>
      <c r="B273" s="838"/>
      <c r="C273" s="869"/>
      <c r="D273" s="530"/>
      <c r="E273" s="530"/>
      <c r="F273" s="870"/>
      <c r="G273" s="871"/>
      <c r="H273" s="871"/>
      <c r="I273" s="872"/>
      <c r="J273" s="872"/>
      <c r="K273" s="872" t="s">
        <v>1152</v>
      </c>
      <c r="L273" s="872">
        <v>627</v>
      </c>
      <c r="M273" s="873"/>
      <c r="O273" s="872">
        <f t="shared" si="43"/>
        <v>664.62</v>
      </c>
      <c r="P273" s="872">
        <f t="shared" si="44"/>
        <v>704.4972</v>
      </c>
    </row>
    <row r="274" spans="1:16" s="868" customFormat="1" ht="12.75">
      <c r="A274" s="868" t="s">
        <v>820</v>
      </c>
      <c r="B274" s="838"/>
      <c r="C274" s="869"/>
      <c r="D274" s="530"/>
      <c r="E274" s="530"/>
      <c r="F274" s="870"/>
      <c r="G274" s="871"/>
      <c r="H274" s="871"/>
      <c r="I274" s="872"/>
      <c r="J274" s="872"/>
      <c r="K274" s="872" t="s">
        <v>1152</v>
      </c>
      <c r="L274" s="872">
        <v>627</v>
      </c>
      <c r="M274" s="873"/>
      <c r="O274" s="872">
        <f t="shared" si="43"/>
        <v>664.62</v>
      </c>
      <c r="P274" s="872">
        <f t="shared" si="44"/>
        <v>704.4972</v>
      </c>
    </row>
    <row r="275" spans="1:16" s="868" customFormat="1" ht="12.75">
      <c r="A275" s="868" t="s">
        <v>819</v>
      </c>
      <c r="B275" s="838"/>
      <c r="C275" s="869"/>
      <c r="D275" s="530"/>
      <c r="E275" s="530"/>
      <c r="F275" s="870"/>
      <c r="G275" s="871"/>
      <c r="H275" s="871"/>
      <c r="I275" s="872"/>
      <c r="J275" s="872"/>
      <c r="K275" s="872" t="s">
        <v>1152</v>
      </c>
      <c r="L275" s="872">
        <v>627</v>
      </c>
      <c r="M275" s="873"/>
      <c r="O275" s="872">
        <f t="shared" si="43"/>
        <v>664.62</v>
      </c>
      <c r="P275" s="872">
        <f t="shared" si="44"/>
        <v>704.4972</v>
      </c>
    </row>
    <row r="276" spans="1:16" s="868" customFormat="1" ht="12.75">
      <c r="A276" s="868" t="s">
        <v>1404</v>
      </c>
      <c r="B276" s="838"/>
      <c r="C276" s="869"/>
      <c r="D276" s="530"/>
      <c r="E276" s="530"/>
      <c r="F276" s="870"/>
      <c r="G276" s="871"/>
      <c r="H276" s="871"/>
      <c r="I276" s="872"/>
      <c r="J276" s="872"/>
      <c r="K276" s="872" t="s">
        <v>1152</v>
      </c>
      <c r="L276" s="872">
        <v>570</v>
      </c>
      <c r="M276" s="873"/>
      <c r="O276" s="872">
        <f t="shared" si="43"/>
        <v>604.2</v>
      </c>
      <c r="P276" s="872">
        <f t="shared" si="44"/>
        <v>640.452</v>
      </c>
    </row>
    <row r="277" spans="1:16" s="22" customFormat="1" ht="12.75">
      <c r="A277" s="22" t="s">
        <v>276</v>
      </c>
      <c r="B277" s="69">
        <v>272.00448000000006</v>
      </c>
      <c r="C277" s="82">
        <f>B277*1.1</f>
        <v>299.2049280000001</v>
      </c>
      <c r="D277" s="175">
        <f>C277*1.1</f>
        <v>329.12542080000014</v>
      </c>
      <c r="E277" s="175">
        <f>D277*1.1</f>
        <v>362.0379628800002</v>
      </c>
      <c r="F277" s="84">
        <f>(E277-D277)/D277</f>
        <v>0.10000000000000007</v>
      </c>
      <c r="G277" s="841">
        <v>426.11868230976023</v>
      </c>
      <c r="H277" s="841">
        <f>G277*1.06</f>
        <v>451.68580324834585</v>
      </c>
      <c r="I277" s="831">
        <f>H277*1.06</f>
        <v>478.7869514432466</v>
      </c>
      <c r="J277" s="831">
        <f>(I277*$M$12)+I277</f>
        <v>507.5141685298414</v>
      </c>
      <c r="K277" s="831">
        <f>(J277*$M$12)+J277</f>
        <v>537.9650186416319</v>
      </c>
      <c r="L277" s="831"/>
      <c r="M277" s="953"/>
      <c r="O277" s="831"/>
      <c r="P277" s="831"/>
    </row>
    <row r="278" spans="1:16" s="868" customFormat="1" ht="12.75">
      <c r="A278" s="868" t="s">
        <v>822</v>
      </c>
      <c r="B278" s="838"/>
      <c r="C278" s="869"/>
      <c r="D278" s="530"/>
      <c r="E278" s="530"/>
      <c r="F278" s="870"/>
      <c r="G278" s="871"/>
      <c r="H278" s="871"/>
      <c r="I278" s="872"/>
      <c r="J278" s="872"/>
      <c r="K278" s="872" t="s">
        <v>1152</v>
      </c>
      <c r="L278" s="872">
        <v>570</v>
      </c>
      <c r="M278" s="873"/>
      <c r="O278" s="872">
        <f aca="true" t="shared" si="45" ref="O278:O284">(L278*$O$7)+L278</f>
        <v>604.2</v>
      </c>
      <c r="P278" s="872">
        <f aca="true" t="shared" si="46" ref="P278:P284">(O278*$P$7)+O278</f>
        <v>640.452</v>
      </c>
    </row>
    <row r="279" spans="1:16" s="868" customFormat="1" ht="12.75">
      <c r="A279" s="868" t="s">
        <v>823</v>
      </c>
      <c r="B279" s="838"/>
      <c r="C279" s="869"/>
      <c r="D279" s="530"/>
      <c r="E279" s="530"/>
      <c r="F279" s="870"/>
      <c r="G279" s="871"/>
      <c r="H279" s="871"/>
      <c r="I279" s="872"/>
      <c r="J279" s="872"/>
      <c r="K279" s="872" t="s">
        <v>1152</v>
      </c>
      <c r="L279" s="872">
        <v>570</v>
      </c>
      <c r="M279" s="873"/>
      <c r="O279" s="872">
        <f t="shared" si="45"/>
        <v>604.2</v>
      </c>
      <c r="P279" s="872">
        <f t="shared" si="46"/>
        <v>640.452</v>
      </c>
    </row>
    <row r="280" spans="1:16" s="868" customFormat="1" ht="12.75">
      <c r="A280" s="868" t="s">
        <v>817</v>
      </c>
      <c r="B280" s="838"/>
      <c r="C280" s="869"/>
      <c r="D280" s="530"/>
      <c r="E280" s="530"/>
      <c r="F280" s="870"/>
      <c r="G280" s="871"/>
      <c r="H280" s="871"/>
      <c r="I280" s="872"/>
      <c r="J280" s="872"/>
      <c r="K280" s="872" t="s">
        <v>1152</v>
      </c>
      <c r="L280" s="872">
        <v>627</v>
      </c>
      <c r="M280" s="873"/>
      <c r="O280" s="872">
        <f t="shared" si="45"/>
        <v>664.62</v>
      </c>
      <c r="P280" s="872">
        <f t="shared" si="46"/>
        <v>704.4972</v>
      </c>
    </row>
    <row r="281" spans="1:16" s="868" customFormat="1" ht="12.75">
      <c r="A281" s="868" t="s">
        <v>818</v>
      </c>
      <c r="B281" s="838"/>
      <c r="C281" s="869"/>
      <c r="D281" s="530"/>
      <c r="E281" s="530"/>
      <c r="F281" s="870"/>
      <c r="G281" s="871"/>
      <c r="H281" s="871"/>
      <c r="I281" s="872"/>
      <c r="J281" s="872"/>
      <c r="K281" s="872" t="s">
        <v>1152</v>
      </c>
      <c r="L281" s="872">
        <v>627</v>
      </c>
      <c r="M281" s="873"/>
      <c r="O281" s="872">
        <f t="shared" si="45"/>
        <v>664.62</v>
      </c>
      <c r="P281" s="872">
        <f t="shared" si="46"/>
        <v>704.4972</v>
      </c>
    </row>
    <row r="282" spans="1:16" s="868" customFormat="1" ht="12.75">
      <c r="A282" s="868" t="s">
        <v>820</v>
      </c>
      <c r="B282" s="838"/>
      <c r="C282" s="869"/>
      <c r="D282" s="530"/>
      <c r="E282" s="530"/>
      <c r="F282" s="870"/>
      <c r="G282" s="871"/>
      <c r="H282" s="871"/>
      <c r="I282" s="872"/>
      <c r="J282" s="872"/>
      <c r="K282" s="872" t="s">
        <v>1152</v>
      </c>
      <c r="L282" s="872">
        <v>627</v>
      </c>
      <c r="M282" s="873"/>
      <c r="O282" s="872">
        <f t="shared" si="45"/>
        <v>664.62</v>
      </c>
      <c r="P282" s="872">
        <f t="shared" si="46"/>
        <v>704.4972</v>
      </c>
    </row>
    <row r="283" spans="1:16" s="868" customFormat="1" ht="12.75">
      <c r="A283" s="868" t="s">
        <v>819</v>
      </c>
      <c r="B283" s="838"/>
      <c r="C283" s="869"/>
      <c r="D283" s="530"/>
      <c r="E283" s="530"/>
      <c r="F283" s="870"/>
      <c r="G283" s="871"/>
      <c r="H283" s="871"/>
      <c r="I283" s="872"/>
      <c r="J283" s="872"/>
      <c r="K283" s="872" t="s">
        <v>1152</v>
      </c>
      <c r="L283" s="872">
        <v>627</v>
      </c>
      <c r="M283" s="873"/>
      <c r="O283" s="872">
        <f t="shared" si="45"/>
        <v>664.62</v>
      </c>
      <c r="P283" s="872">
        <f t="shared" si="46"/>
        <v>704.4972</v>
      </c>
    </row>
    <row r="284" spans="1:16" s="868" customFormat="1" ht="12.75">
      <c r="A284" s="868" t="s">
        <v>1404</v>
      </c>
      <c r="B284" s="838"/>
      <c r="C284" s="869"/>
      <c r="D284" s="530"/>
      <c r="E284" s="530"/>
      <c r="F284" s="870"/>
      <c r="G284" s="871"/>
      <c r="H284" s="871"/>
      <c r="I284" s="872"/>
      <c r="J284" s="872"/>
      <c r="K284" s="872" t="s">
        <v>1152</v>
      </c>
      <c r="L284" s="872">
        <v>570</v>
      </c>
      <c r="M284" s="873"/>
      <c r="O284" s="872">
        <f t="shared" si="45"/>
        <v>604.2</v>
      </c>
      <c r="P284" s="872">
        <f t="shared" si="46"/>
        <v>640.452</v>
      </c>
    </row>
    <row r="285" spans="1:16" s="22" customFormat="1" ht="12.75">
      <c r="A285" s="22" t="s">
        <v>277</v>
      </c>
      <c r="B285" s="69">
        <v>272.00448000000006</v>
      </c>
      <c r="C285" s="82">
        <f>B285*1.1</f>
        <v>299.2049280000001</v>
      </c>
      <c r="D285" s="175">
        <f>C285*1.1</f>
        <v>329.12542080000014</v>
      </c>
      <c r="E285" s="175">
        <f>D285*1.1</f>
        <v>362.0379628800002</v>
      </c>
      <c r="F285" s="84">
        <f>(E285-D285)/D285</f>
        <v>0.10000000000000007</v>
      </c>
      <c r="G285" s="841">
        <v>426.11868230976023</v>
      </c>
      <c r="H285" s="841">
        <f>G285*1.06</f>
        <v>451.68580324834585</v>
      </c>
      <c r="I285" s="831">
        <f>H285*1.06</f>
        <v>478.7869514432466</v>
      </c>
      <c r="J285" s="831">
        <f>(I285*$M$12)+I285</f>
        <v>507.5141685298414</v>
      </c>
      <c r="K285" s="831">
        <f>(J285*$M$12)+J285</f>
        <v>537.9650186416319</v>
      </c>
      <c r="L285" s="831"/>
      <c r="M285" s="953"/>
      <c r="O285" s="831"/>
      <c r="P285" s="831"/>
    </row>
    <row r="286" spans="1:16" s="868" customFormat="1" ht="12.75">
      <c r="A286" s="868" t="s">
        <v>822</v>
      </c>
      <c r="B286" s="838"/>
      <c r="C286" s="869"/>
      <c r="D286" s="530"/>
      <c r="E286" s="530"/>
      <c r="F286" s="870"/>
      <c r="G286" s="871"/>
      <c r="H286" s="871"/>
      <c r="I286" s="872"/>
      <c r="J286" s="872"/>
      <c r="K286" s="872" t="s">
        <v>1152</v>
      </c>
      <c r="L286" s="872">
        <v>570</v>
      </c>
      <c r="M286" s="873"/>
      <c r="O286" s="872">
        <f aca="true" t="shared" si="47" ref="O286:O292">(L286*$O$7)+L286</f>
        <v>604.2</v>
      </c>
      <c r="P286" s="872">
        <f aca="true" t="shared" si="48" ref="P286:P292">(O286*$P$7)+O286</f>
        <v>640.452</v>
      </c>
    </row>
    <row r="287" spans="1:16" s="868" customFormat="1" ht="12.75">
      <c r="A287" s="868" t="s">
        <v>823</v>
      </c>
      <c r="B287" s="838"/>
      <c r="C287" s="869"/>
      <c r="D287" s="530"/>
      <c r="E287" s="530"/>
      <c r="F287" s="870"/>
      <c r="G287" s="871"/>
      <c r="H287" s="871"/>
      <c r="I287" s="872"/>
      <c r="J287" s="872"/>
      <c r="K287" s="872" t="s">
        <v>1152</v>
      </c>
      <c r="L287" s="872">
        <v>570</v>
      </c>
      <c r="M287" s="873"/>
      <c r="O287" s="872">
        <f t="shared" si="47"/>
        <v>604.2</v>
      </c>
      <c r="P287" s="872">
        <f t="shared" si="48"/>
        <v>640.452</v>
      </c>
    </row>
    <row r="288" spans="1:16" s="868" customFormat="1" ht="12.75">
      <c r="A288" s="868" t="s">
        <v>817</v>
      </c>
      <c r="B288" s="838"/>
      <c r="C288" s="869"/>
      <c r="D288" s="530"/>
      <c r="E288" s="530"/>
      <c r="F288" s="870"/>
      <c r="G288" s="871"/>
      <c r="H288" s="871"/>
      <c r="I288" s="872"/>
      <c r="J288" s="872"/>
      <c r="K288" s="872" t="s">
        <v>1152</v>
      </c>
      <c r="L288" s="872">
        <v>627</v>
      </c>
      <c r="M288" s="873"/>
      <c r="O288" s="872">
        <f t="shared" si="47"/>
        <v>664.62</v>
      </c>
      <c r="P288" s="872">
        <f t="shared" si="48"/>
        <v>704.4972</v>
      </c>
    </row>
    <row r="289" spans="1:16" s="868" customFormat="1" ht="12.75">
      <c r="A289" s="868" t="s">
        <v>818</v>
      </c>
      <c r="B289" s="838"/>
      <c r="C289" s="869"/>
      <c r="D289" s="530"/>
      <c r="E289" s="530"/>
      <c r="F289" s="870"/>
      <c r="G289" s="871"/>
      <c r="H289" s="871"/>
      <c r="I289" s="872"/>
      <c r="J289" s="872"/>
      <c r="K289" s="872" t="s">
        <v>1152</v>
      </c>
      <c r="L289" s="872">
        <v>627</v>
      </c>
      <c r="M289" s="873"/>
      <c r="O289" s="872">
        <f t="shared" si="47"/>
        <v>664.62</v>
      </c>
      <c r="P289" s="872">
        <f t="shared" si="48"/>
        <v>704.4972</v>
      </c>
    </row>
    <row r="290" spans="1:16" s="868" customFormat="1" ht="12.75">
      <c r="A290" s="868" t="s">
        <v>820</v>
      </c>
      <c r="B290" s="838"/>
      <c r="C290" s="869"/>
      <c r="D290" s="530"/>
      <c r="E290" s="530"/>
      <c r="F290" s="870"/>
      <c r="G290" s="871"/>
      <c r="H290" s="871"/>
      <c r="I290" s="872"/>
      <c r="J290" s="872"/>
      <c r="K290" s="872" t="s">
        <v>1152</v>
      </c>
      <c r="L290" s="872">
        <v>627</v>
      </c>
      <c r="M290" s="873"/>
      <c r="O290" s="872">
        <f t="shared" si="47"/>
        <v>664.62</v>
      </c>
      <c r="P290" s="872">
        <f t="shared" si="48"/>
        <v>704.4972</v>
      </c>
    </row>
    <row r="291" spans="1:16" s="868" customFormat="1" ht="12.75">
      <c r="A291" s="868" t="s">
        <v>819</v>
      </c>
      <c r="B291" s="838"/>
      <c r="C291" s="869"/>
      <c r="D291" s="530"/>
      <c r="E291" s="530"/>
      <c r="F291" s="870"/>
      <c r="G291" s="871"/>
      <c r="H291" s="871"/>
      <c r="I291" s="872"/>
      <c r="J291" s="872"/>
      <c r="K291" s="872" t="s">
        <v>1152</v>
      </c>
      <c r="L291" s="872">
        <v>627</v>
      </c>
      <c r="M291" s="873"/>
      <c r="O291" s="872">
        <f t="shared" si="47"/>
        <v>664.62</v>
      </c>
      <c r="P291" s="872">
        <f t="shared" si="48"/>
        <v>704.4972</v>
      </c>
    </row>
    <row r="292" spans="1:16" s="868" customFormat="1" ht="12.75">
      <c r="A292" s="868" t="s">
        <v>1404</v>
      </c>
      <c r="B292" s="838"/>
      <c r="C292" s="869"/>
      <c r="D292" s="530"/>
      <c r="E292" s="530"/>
      <c r="F292" s="870"/>
      <c r="G292" s="871"/>
      <c r="H292" s="871"/>
      <c r="I292" s="872"/>
      <c r="J292" s="872"/>
      <c r="K292" s="872" t="s">
        <v>1152</v>
      </c>
      <c r="L292" s="872">
        <v>570</v>
      </c>
      <c r="M292" s="873"/>
      <c r="O292" s="872">
        <f t="shared" si="47"/>
        <v>604.2</v>
      </c>
      <c r="P292" s="872">
        <f t="shared" si="48"/>
        <v>640.452</v>
      </c>
    </row>
    <row r="293" spans="1:16" s="22" customFormat="1" ht="12.75">
      <c r="A293" s="22" t="s">
        <v>469</v>
      </c>
      <c r="B293" s="69">
        <v>225</v>
      </c>
      <c r="C293" s="82">
        <f>B293*1.1</f>
        <v>247.50000000000003</v>
      </c>
      <c r="D293" s="175">
        <f>C293*1.1</f>
        <v>272.25000000000006</v>
      </c>
      <c r="E293" s="175">
        <f>D293*1.1</f>
        <v>299.4750000000001</v>
      </c>
      <c r="F293" s="84">
        <f>(E293-D293)/D293</f>
        <v>0.10000000000000006</v>
      </c>
      <c r="G293" s="841">
        <v>352.4820750000002</v>
      </c>
      <c r="H293" s="841">
        <f>G293*1.06</f>
        <v>373.6309995000002</v>
      </c>
      <c r="I293" s="831">
        <f>H293*1.06</f>
        <v>396.04885947000025</v>
      </c>
      <c r="J293" s="831">
        <f>(I293*$M$12)+I293</f>
        <v>419.8117910382003</v>
      </c>
      <c r="K293" s="831">
        <f>(J293*$M$12)+J293</f>
        <v>445.0004985004923</v>
      </c>
      <c r="L293" s="831"/>
      <c r="M293" s="953"/>
      <c r="O293" s="831"/>
      <c r="P293" s="831"/>
    </row>
    <row r="294" spans="1:16" s="868" customFormat="1" ht="12.75">
      <c r="A294" s="868" t="s">
        <v>822</v>
      </c>
      <c r="B294" s="838"/>
      <c r="C294" s="869"/>
      <c r="D294" s="530"/>
      <c r="E294" s="530"/>
      <c r="F294" s="870"/>
      <c r="G294" s="871"/>
      <c r="H294" s="871"/>
      <c r="I294" s="872"/>
      <c r="J294" s="872"/>
      <c r="K294" s="872" t="s">
        <v>1152</v>
      </c>
      <c r="L294" s="872">
        <v>472</v>
      </c>
      <c r="M294" s="873"/>
      <c r="O294" s="872">
        <f aca="true" t="shared" si="49" ref="O294:O300">(L294*$O$7)+L294</f>
        <v>500.32</v>
      </c>
      <c r="P294" s="872">
        <f aca="true" t="shared" si="50" ref="P294:P340">(O294*$P$7)+O294</f>
        <v>530.3392</v>
      </c>
    </row>
    <row r="295" spans="1:16" s="868" customFormat="1" ht="12.75">
      <c r="A295" s="868" t="s">
        <v>823</v>
      </c>
      <c r="B295" s="838"/>
      <c r="C295" s="869"/>
      <c r="D295" s="530"/>
      <c r="E295" s="530"/>
      <c r="F295" s="870"/>
      <c r="G295" s="871"/>
      <c r="H295" s="871"/>
      <c r="I295" s="872"/>
      <c r="J295" s="872"/>
      <c r="K295" s="872" t="s">
        <v>1152</v>
      </c>
      <c r="L295" s="872">
        <v>472</v>
      </c>
      <c r="M295" s="873"/>
      <c r="O295" s="872">
        <f t="shared" si="49"/>
        <v>500.32</v>
      </c>
      <c r="P295" s="872">
        <f t="shared" si="50"/>
        <v>530.3392</v>
      </c>
    </row>
    <row r="296" spans="1:16" s="868" customFormat="1" ht="12.75">
      <c r="A296" s="868" t="s">
        <v>817</v>
      </c>
      <c r="B296" s="838"/>
      <c r="C296" s="869"/>
      <c r="D296" s="530"/>
      <c r="E296" s="530"/>
      <c r="F296" s="870"/>
      <c r="G296" s="871"/>
      <c r="H296" s="871"/>
      <c r="I296" s="872"/>
      <c r="J296" s="872"/>
      <c r="K296" s="872" t="s">
        <v>1152</v>
      </c>
      <c r="L296" s="872">
        <v>519</v>
      </c>
      <c r="M296" s="873"/>
      <c r="O296" s="872">
        <f t="shared" si="49"/>
        <v>550.14</v>
      </c>
      <c r="P296" s="872">
        <f t="shared" si="50"/>
        <v>583.1484</v>
      </c>
    </row>
    <row r="297" spans="1:16" s="868" customFormat="1" ht="12.75">
      <c r="A297" s="868" t="s">
        <v>818</v>
      </c>
      <c r="B297" s="838"/>
      <c r="C297" s="869"/>
      <c r="D297" s="530"/>
      <c r="E297" s="530"/>
      <c r="F297" s="870"/>
      <c r="G297" s="871"/>
      <c r="H297" s="871"/>
      <c r="I297" s="872"/>
      <c r="J297" s="872"/>
      <c r="K297" s="872" t="s">
        <v>1152</v>
      </c>
      <c r="L297" s="872">
        <v>519</v>
      </c>
      <c r="M297" s="873"/>
      <c r="O297" s="872">
        <f t="shared" si="49"/>
        <v>550.14</v>
      </c>
      <c r="P297" s="872">
        <f t="shared" si="50"/>
        <v>583.1484</v>
      </c>
    </row>
    <row r="298" spans="1:16" s="868" customFormat="1" ht="12.75">
      <c r="A298" s="868" t="s">
        <v>820</v>
      </c>
      <c r="B298" s="838"/>
      <c r="C298" s="869"/>
      <c r="D298" s="530"/>
      <c r="E298" s="530"/>
      <c r="F298" s="870"/>
      <c r="G298" s="871"/>
      <c r="H298" s="871"/>
      <c r="I298" s="872"/>
      <c r="J298" s="872"/>
      <c r="K298" s="872" t="s">
        <v>1152</v>
      </c>
      <c r="L298" s="872">
        <v>519</v>
      </c>
      <c r="M298" s="873"/>
      <c r="O298" s="872">
        <f t="shared" si="49"/>
        <v>550.14</v>
      </c>
      <c r="P298" s="872">
        <f t="shared" si="50"/>
        <v>583.1484</v>
      </c>
    </row>
    <row r="299" spans="1:16" s="868" customFormat="1" ht="12.75">
      <c r="A299" s="868" t="s">
        <v>819</v>
      </c>
      <c r="B299" s="838"/>
      <c r="C299" s="869"/>
      <c r="D299" s="530"/>
      <c r="E299" s="530"/>
      <c r="F299" s="870"/>
      <c r="G299" s="871"/>
      <c r="H299" s="871"/>
      <c r="I299" s="872"/>
      <c r="J299" s="872"/>
      <c r="K299" s="872" t="s">
        <v>1152</v>
      </c>
      <c r="L299" s="872">
        <v>519</v>
      </c>
      <c r="M299" s="873"/>
      <c r="O299" s="872">
        <f t="shared" si="49"/>
        <v>550.14</v>
      </c>
      <c r="P299" s="872">
        <f t="shared" si="50"/>
        <v>583.1484</v>
      </c>
    </row>
    <row r="300" spans="1:16" s="868" customFormat="1" ht="12.75">
      <c r="A300" s="868" t="s">
        <v>1404</v>
      </c>
      <c r="B300" s="838"/>
      <c r="C300" s="869"/>
      <c r="D300" s="530"/>
      <c r="E300" s="530"/>
      <c r="F300" s="870"/>
      <c r="G300" s="871"/>
      <c r="H300" s="871"/>
      <c r="I300" s="872"/>
      <c r="J300" s="872"/>
      <c r="K300" s="872" t="s">
        <v>1152</v>
      </c>
      <c r="L300" s="872">
        <v>472</v>
      </c>
      <c r="M300" s="873"/>
      <c r="O300" s="872">
        <f t="shared" si="49"/>
        <v>500.32</v>
      </c>
      <c r="P300" s="872">
        <f t="shared" si="50"/>
        <v>530.3392</v>
      </c>
    </row>
    <row r="301" spans="1:16" s="22" customFormat="1" ht="12.75">
      <c r="A301" s="22" t="s">
        <v>470</v>
      </c>
      <c r="B301" s="69">
        <v>225</v>
      </c>
      <c r="C301" s="82">
        <f>B301*1.1</f>
        <v>247.50000000000003</v>
      </c>
      <c r="D301" s="175">
        <f>C301*1.1</f>
        <v>272.25000000000006</v>
      </c>
      <c r="E301" s="175">
        <f>D301*1.1</f>
        <v>299.4750000000001</v>
      </c>
      <c r="F301" s="84">
        <f>(E301-D301)/D301</f>
        <v>0.10000000000000006</v>
      </c>
      <c r="G301" s="841">
        <v>352.4820750000002</v>
      </c>
      <c r="H301" s="841">
        <f>G301*1.06</f>
        <v>373.6309995000002</v>
      </c>
      <c r="I301" s="831">
        <f>H301*1.06</f>
        <v>396.04885947000025</v>
      </c>
      <c r="J301" s="831">
        <f>(I301*$M$12)+I301</f>
        <v>419.8117910382003</v>
      </c>
      <c r="K301" s="831">
        <f>(J301*$M$12)+J301</f>
        <v>445.0004985004923</v>
      </c>
      <c r="L301" s="831"/>
      <c r="M301" s="953"/>
      <c r="O301" s="831"/>
      <c r="P301" s="831"/>
    </row>
    <row r="302" spans="1:16" s="868" customFormat="1" ht="12.75">
      <c r="A302" s="868" t="s">
        <v>822</v>
      </c>
      <c r="B302" s="838"/>
      <c r="C302" s="869"/>
      <c r="D302" s="530"/>
      <c r="E302" s="530"/>
      <c r="F302" s="870"/>
      <c r="G302" s="871"/>
      <c r="H302" s="871"/>
      <c r="I302" s="872"/>
      <c r="J302" s="872"/>
      <c r="K302" s="872" t="s">
        <v>1152</v>
      </c>
      <c r="L302" s="872">
        <v>570</v>
      </c>
      <c r="M302" s="873"/>
      <c r="O302" s="872">
        <f aca="true" t="shared" si="51" ref="O302:O308">(L302*$O$7)+L302</f>
        <v>604.2</v>
      </c>
      <c r="P302" s="872">
        <f t="shared" si="50"/>
        <v>640.452</v>
      </c>
    </row>
    <row r="303" spans="1:16" s="868" customFormat="1" ht="12.75">
      <c r="A303" s="868" t="s">
        <v>823</v>
      </c>
      <c r="B303" s="838"/>
      <c r="C303" s="869"/>
      <c r="D303" s="530"/>
      <c r="E303" s="530"/>
      <c r="F303" s="870"/>
      <c r="G303" s="871"/>
      <c r="H303" s="871"/>
      <c r="I303" s="872"/>
      <c r="J303" s="872"/>
      <c r="K303" s="872" t="s">
        <v>1152</v>
      </c>
      <c r="L303" s="872">
        <v>570</v>
      </c>
      <c r="M303" s="873"/>
      <c r="O303" s="872">
        <f t="shared" si="51"/>
        <v>604.2</v>
      </c>
      <c r="P303" s="872">
        <f t="shared" si="50"/>
        <v>640.452</v>
      </c>
    </row>
    <row r="304" spans="1:16" s="868" customFormat="1" ht="12.75">
      <c r="A304" s="868" t="s">
        <v>817</v>
      </c>
      <c r="B304" s="838"/>
      <c r="C304" s="869"/>
      <c r="D304" s="530"/>
      <c r="E304" s="530"/>
      <c r="F304" s="870"/>
      <c r="G304" s="871"/>
      <c r="H304" s="871"/>
      <c r="I304" s="872"/>
      <c r="J304" s="872"/>
      <c r="K304" s="872" t="s">
        <v>1152</v>
      </c>
      <c r="L304" s="872">
        <v>627</v>
      </c>
      <c r="M304" s="873"/>
      <c r="O304" s="872">
        <f t="shared" si="51"/>
        <v>664.62</v>
      </c>
      <c r="P304" s="872">
        <f t="shared" si="50"/>
        <v>704.4972</v>
      </c>
    </row>
    <row r="305" spans="1:16" s="868" customFormat="1" ht="12.75">
      <c r="A305" s="868" t="s">
        <v>818</v>
      </c>
      <c r="B305" s="838"/>
      <c r="C305" s="869"/>
      <c r="D305" s="530"/>
      <c r="E305" s="530"/>
      <c r="F305" s="870"/>
      <c r="G305" s="871"/>
      <c r="H305" s="871"/>
      <c r="I305" s="872"/>
      <c r="J305" s="872"/>
      <c r="K305" s="872" t="s">
        <v>1152</v>
      </c>
      <c r="L305" s="872">
        <v>627</v>
      </c>
      <c r="M305" s="873"/>
      <c r="O305" s="872">
        <f t="shared" si="51"/>
        <v>664.62</v>
      </c>
      <c r="P305" s="872">
        <f t="shared" si="50"/>
        <v>704.4972</v>
      </c>
    </row>
    <row r="306" spans="1:16" s="868" customFormat="1" ht="12.75">
      <c r="A306" s="868" t="s">
        <v>820</v>
      </c>
      <c r="B306" s="838"/>
      <c r="C306" s="869"/>
      <c r="D306" s="530"/>
      <c r="E306" s="530"/>
      <c r="F306" s="870"/>
      <c r="G306" s="871"/>
      <c r="H306" s="871"/>
      <c r="I306" s="872"/>
      <c r="J306" s="872"/>
      <c r="K306" s="872" t="s">
        <v>1152</v>
      </c>
      <c r="L306" s="872">
        <v>627</v>
      </c>
      <c r="M306" s="873"/>
      <c r="O306" s="872">
        <f t="shared" si="51"/>
        <v>664.62</v>
      </c>
      <c r="P306" s="872">
        <f t="shared" si="50"/>
        <v>704.4972</v>
      </c>
    </row>
    <row r="307" spans="1:16" s="868" customFormat="1" ht="12.75">
      <c r="A307" s="868" t="s">
        <v>819</v>
      </c>
      <c r="B307" s="838"/>
      <c r="C307" s="869"/>
      <c r="D307" s="530"/>
      <c r="E307" s="530"/>
      <c r="F307" s="870"/>
      <c r="G307" s="871"/>
      <c r="H307" s="871"/>
      <c r="I307" s="872"/>
      <c r="J307" s="872"/>
      <c r="K307" s="872" t="s">
        <v>1152</v>
      </c>
      <c r="L307" s="872">
        <v>627</v>
      </c>
      <c r="M307" s="873"/>
      <c r="O307" s="872">
        <f t="shared" si="51"/>
        <v>664.62</v>
      </c>
      <c r="P307" s="872">
        <f t="shared" si="50"/>
        <v>704.4972</v>
      </c>
    </row>
    <row r="308" spans="1:16" s="868" customFormat="1" ht="12.75">
      <c r="A308" s="868" t="s">
        <v>1404</v>
      </c>
      <c r="B308" s="838"/>
      <c r="C308" s="869"/>
      <c r="D308" s="530"/>
      <c r="E308" s="530"/>
      <c r="F308" s="870"/>
      <c r="G308" s="871"/>
      <c r="H308" s="871"/>
      <c r="I308" s="872"/>
      <c r="J308" s="872"/>
      <c r="K308" s="872" t="s">
        <v>1152</v>
      </c>
      <c r="L308" s="872">
        <v>570</v>
      </c>
      <c r="M308" s="873"/>
      <c r="O308" s="872">
        <f t="shared" si="51"/>
        <v>604.2</v>
      </c>
      <c r="P308" s="872">
        <f t="shared" si="50"/>
        <v>640.452</v>
      </c>
    </row>
    <row r="309" spans="1:16" s="22" customFormat="1" ht="12.75">
      <c r="A309" s="22" t="s">
        <v>471</v>
      </c>
      <c r="B309" s="69">
        <v>225</v>
      </c>
      <c r="C309" s="82">
        <f>B309*1.1</f>
        <v>247.50000000000003</v>
      </c>
      <c r="D309" s="175">
        <f>C309*1.1</f>
        <v>272.25000000000006</v>
      </c>
      <c r="E309" s="175">
        <f>D309*1.1</f>
        <v>299.4750000000001</v>
      </c>
      <c r="F309" s="84">
        <f>(E309-D309)/D309</f>
        <v>0.10000000000000006</v>
      </c>
      <c r="G309" s="841">
        <v>352.4820750000002</v>
      </c>
      <c r="H309" s="841">
        <f>G309*1.06</f>
        <v>373.6309995000002</v>
      </c>
      <c r="I309" s="831">
        <f>H309*1.06</f>
        <v>396.04885947000025</v>
      </c>
      <c r="J309" s="831">
        <f>(I309*$M$12)+I309</f>
        <v>419.8117910382003</v>
      </c>
      <c r="K309" s="831">
        <f>(J309*$M$12)+J309</f>
        <v>445.0004985004923</v>
      </c>
      <c r="L309" s="831"/>
      <c r="M309" s="953"/>
      <c r="O309" s="831"/>
      <c r="P309" s="831"/>
    </row>
    <row r="310" spans="1:16" s="868" customFormat="1" ht="12.75">
      <c r="A310" s="868" t="s">
        <v>822</v>
      </c>
      <c r="B310" s="838"/>
      <c r="C310" s="869"/>
      <c r="D310" s="530"/>
      <c r="E310" s="530"/>
      <c r="F310" s="870"/>
      <c r="G310" s="871"/>
      <c r="H310" s="871"/>
      <c r="I310" s="872"/>
      <c r="J310" s="872"/>
      <c r="K310" s="872" t="s">
        <v>1152</v>
      </c>
      <c r="L310" s="872">
        <v>472</v>
      </c>
      <c r="M310" s="873"/>
      <c r="O310" s="872">
        <f aca="true" t="shared" si="52" ref="O310:O316">(L310*$O$7)+L310</f>
        <v>500.32</v>
      </c>
      <c r="P310" s="872">
        <f t="shared" si="50"/>
        <v>530.3392</v>
      </c>
    </row>
    <row r="311" spans="1:16" s="868" customFormat="1" ht="12.75">
      <c r="A311" s="868" t="s">
        <v>823</v>
      </c>
      <c r="B311" s="838"/>
      <c r="C311" s="869"/>
      <c r="D311" s="530"/>
      <c r="E311" s="530"/>
      <c r="F311" s="870"/>
      <c r="G311" s="871"/>
      <c r="H311" s="871"/>
      <c r="I311" s="872"/>
      <c r="J311" s="872"/>
      <c r="K311" s="872" t="s">
        <v>1152</v>
      </c>
      <c r="L311" s="872">
        <v>472</v>
      </c>
      <c r="M311" s="873"/>
      <c r="O311" s="872">
        <f t="shared" si="52"/>
        <v>500.32</v>
      </c>
      <c r="P311" s="872">
        <f t="shared" si="50"/>
        <v>530.3392</v>
      </c>
    </row>
    <row r="312" spans="1:16" s="868" customFormat="1" ht="12.75">
      <c r="A312" s="868" t="s">
        <v>817</v>
      </c>
      <c r="B312" s="838"/>
      <c r="C312" s="869"/>
      <c r="D312" s="530"/>
      <c r="E312" s="530"/>
      <c r="F312" s="870"/>
      <c r="G312" s="871"/>
      <c r="H312" s="871"/>
      <c r="I312" s="872"/>
      <c r="J312" s="872"/>
      <c r="K312" s="872" t="s">
        <v>1152</v>
      </c>
      <c r="L312" s="872">
        <v>519</v>
      </c>
      <c r="M312" s="873"/>
      <c r="O312" s="872">
        <f t="shared" si="52"/>
        <v>550.14</v>
      </c>
      <c r="P312" s="872">
        <f t="shared" si="50"/>
        <v>583.1484</v>
      </c>
    </row>
    <row r="313" spans="1:16" s="868" customFormat="1" ht="12.75">
      <c r="A313" s="868" t="s">
        <v>818</v>
      </c>
      <c r="B313" s="838"/>
      <c r="C313" s="869"/>
      <c r="D313" s="530"/>
      <c r="E313" s="530"/>
      <c r="F313" s="870"/>
      <c r="G313" s="871"/>
      <c r="H313" s="871"/>
      <c r="I313" s="872"/>
      <c r="J313" s="872"/>
      <c r="K313" s="872" t="s">
        <v>1152</v>
      </c>
      <c r="L313" s="872">
        <v>519</v>
      </c>
      <c r="M313" s="873"/>
      <c r="O313" s="872">
        <f t="shared" si="52"/>
        <v>550.14</v>
      </c>
      <c r="P313" s="872">
        <f t="shared" si="50"/>
        <v>583.1484</v>
      </c>
    </row>
    <row r="314" spans="1:16" s="868" customFormat="1" ht="12.75">
      <c r="A314" s="868" t="s">
        <v>820</v>
      </c>
      <c r="B314" s="838"/>
      <c r="C314" s="869"/>
      <c r="D314" s="530"/>
      <c r="E314" s="530"/>
      <c r="F314" s="870"/>
      <c r="G314" s="871"/>
      <c r="H314" s="871"/>
      <c r="I314" s="872"/>
      <c r="J314" s="872"/>
      <c r="K314" s="872" t="s">
        <v>1152</v>
      </c>
      <c r="L314" s="872">
        <v>519</v>
      </c>
      <c r="M314" s="873"/>
      <c r="O314" s="872">
        <f t="shared" si="52"/>
        <v>550.14</v>
      </c>
      <c r="P314" s="872">
        <f t="shared" si="50"/>
        <v>583.1484</v>
      </c>
    </row>
    <row r="315" spans="1:16" s="868" customFormat="1" ht="12.75">
      <c r="A315" s="868" t="s">
        <v>819</v>
      </c>
      <c r="B315" s="838"/>
      <c r="C315" s="869"/>
      <c r="D315" s="530"/>
      <c r="E315" s="530"/>
      <c r="F315" s="870"/>
      <c r="G315" s="871"/>
      <c r="H315" s="871"/>
      <c r="I315" s="872"/>
      <c r="J315" s="872"/>
      <c r="K315" s="872" t="s">
        <v>1152</v>
      </c>
      <c r="L315" s="872">
        <v>519</v>
      </c>
      <c r="M315" s="873"/>
      <c r="O315" s="872">
        <f t="shared" si="52"/>
        <v>550.14</v>
      </c>
      <c r="P315" s="872">
        <f t="shared" si="50"/>
        <v>583.1484</v>
      </c>
    </row>
    <row r="316" spans="1:16" s="868" customFormat="1" ht="12.75">
      <c r="A316" s="868" t="s">
        <v>1404</v>
      </c>
      <c r="B316" s="838"/>
      <c r="C316" s="869"/>
      <c r="D316" s="530"/>
      <c r="E316" s="530"/>
      <c r="F316" s="870"/>
      <c r="G316" s="871"/>
      <c r="H316" s="871"/>
      <c r="I316" s="872"/>
      <c r="J316" s="872"/>
      <c r="K316" s="872" t="s">
        <v>1152</v>
      </c>
      <c r="L316" s="872">
        <v>472</v>
      </c>
      <c r="M316" s="873"/>
      <c r="O316" s="872">
        <f t="shared" si="52"/>
        <v>500.32</v>
      </c>
      <c r="P316" s="872">
        <f t="shared" si="50"/>
        <v>530.3392</v>
      </c>
    </row>
    <row r="317" spans="1:16" s="22" customFormat="1" ht="12.75">
      <c r="A317" s="22" t="s">
        <v>472</v>
      </c>
      <c r="B317" s="69">
        <v>225</v>
      </c>
      <c r="C317" s="82">
        <f>B317*1.1</f>
        <v>247.50000000000003</v>
      </c>
      <c r="D317" s="175">
        <f>C317*1.1</f>
        <v>272.25000000000006</v>
      </c>
      <c r="E317" s="175">
        <f>D317*1.1</f>
        <v>299.4750000000001</v>
      </c>
      <c r="F317" s="84">
        <f>(E317-D317)/D317</f>
        <v>0.10000000000000006</v>
      </c>
      <c r="G317" s="841">
        <v>352.4820750000002</v>
      </c>
      <c r="H317" s="841">
        <f>G317*1.06</f>
        <v>373.6309995000002</v>
      </c>
      <c r="I317" s="831">
        <f>H317*1.06</f>
        <v>396.04885947000025</v>
      </c>
      <c r="J317" s="831">
        <f>(I317*$M$12)+I317</f>
        <v>419.8117910382003</v>
      </c>
      <c r="K317" s="831">
        <f>(J317*$M$12)+J317</f>
        <v>445.0004985004923</v>
      </c>
      <c r="L317" s="831"/>
      <c r="M317" s="953"/>
      <c r="O317" s="831"/>
      <c r="P317" s="831"/>
    </row>
    <row r="318" spans="1:16" s="868" customFormat="1" ht="12.75">
      <c r="A318" s="868" t="s">
        <v>822</v>
      </c>
      <c r="B318" s="838"/>
      <c r="C318" s="869"/>
      <c r="D318" s="530"/>
      <c r="E318" s="530"/>
      <c r="F318" s="870"/>
      <c r="G318" s="871"/>
      <c r="H318" s="871"/>
      <c r="I318" s="872"/>
      <c r="J318" s="872"/>
      <c r="K318" s="872" t="s">
        <v>1152</v>
      </c>
      <c r="L318" s="872">
        <v>472</v>
      </c>
      <c r="M318" s="873"/>
      <c r="O318" s="872">
        <f aca="true" t="shared" si="53" ref="O318:O324">(L318*$O$7)+L318</f>
        <v>500.32</v>
      </c>
      <c r="P318" s="872">
        <f t="shared" si="50"/>
        <v>530.3392</v>
      </c>
    </row>
    <row r="319" spans="1:16" s="868" customFormat="1" ht="12.75">
      <c r="A319" s="868" t="s">
        <v>823</v>
      </c>
      <c r="B319" s="838"/>
      <c r="C319" s="869"/>
      <c r="D319" s="530"/>
      <c r="E319" s="530"/>
      <c r="F319" s="870"/>
      <c r="G319" s="871"/>
      <c r="H319" s="871"/>
      <c r="I319" s="872"/>
      <c r="J319" s="872"/>
      <c r="K319" s="872" t="s">
        <v>1152</v>
      </c>
      <c r="L319" s="872">
        <v>472</v>
      </c>
      <c r="M319" s="873"/>
      <c r="O319" s="872">
        <f t="shared" si="53"/>
        <v>500.32</v>
      </c>
      <c r="P319" s="872">
        <f t="shared" si="50"/>
        <v>530.3392</v>
      </c>
    </row>
    <row r="320" spans="1:16" s="868" customFormat="1" ht="12.75">
      <c r="A320" s="868" t="s">
        <v>817</v>
      </c>
      <c r="B320" s="838"/>
      <c r="C320" s="869"/>
      <c r="D320" s="530"/>
      <c r="E320" s="530"/>
      <c r="F320" s="870"/>
      <c r="G320" s="871"/>
      <c r="H320" s="871"/>
      <c r="I320" s="872"/>
      <c r="J320" s="872"/>
      <c r="K320" s="872" t="s">
        <v>1152</v>
      </c>
      <c r="L320" s="872">
        <v>519</v>
      </c>
      <c r="M320" s="873"/>
      <c r="O320" s="872">
        <f t="shared" si="53"/>
        <v>550.14</v>
      </c>
      <c r="P320" s="872">
        <f t="shared" si="50"/>
        <v>583.1484</v>
      </c>
    </row>
    <row r="321" spans="1:16" s="868" customFormat="1" ht="12.75">
      <c r="A321" s="868" t="s">
        <v>818</v>
      </c>
      <c r="B321" s="838"/>
      <c r="C321" s="869"/>
      <c r="D321" s="530"/>
      <c r="E321" s="530"/>
      <c r="F321" s="870"/>
      <c r="G321" s="871"/>
      <c r="H321" s="871"/>
      <c r="I321" s="872"/>
      <c r="J321" s="872"/>
      <c r="K321" s="872" t="s">
        <v>1152</v>
      </c>
      <c r="L321" s="872">
        <v>519</v>
      </c>
      <c r="M321" s="873"/>
      <c r="O321" s="872">
        <f t="shared" si="53"/>
        <v>550.14</v>
      </c>
      <c r="P321" s="872">
        <f t="shared" si="50"/>
        <v>583.1484</v>
      </c>
    </row>
    <row r="322" spans="1:16" s="868" customFormat="1" ht="12.75">
      <c r="A322" s="868" t="s">
        <v>820</v>
      </c>
      <c r="B322" s="838"/>
      <c r="C322" s="869"/>
      <c r="D322" s="530"/>
      <c r="E322" s="530"/>
      <c r="F322" s="870"/>
      <c r="G322" s="871"/>
      <c r="H322" s="871"/>
      <c r="I322" s="872"/>
      <c r="J322" s="872"/>
      <c r="K322" s="872" t="s">
        <v>1152</v>
      </c>
      <c r="L322" s="872">
        <v>519</v>
      </c>
      <c r="M322" s="873"/>
      <c r="O322" s="872">
        <f t="shared" si="53"/>
        <v>550.14</v>
      </c>
      <c r="P322" s="872">
        <f t="shared" si="50"/>
        <v>583.1484</v>
      </c>
    </row>
    <row r="323" spans="1:16" s="868" customFormat="1" ht="12.75">
      <c r="A323" s="868" t="s">
        <v>819</v>
      </c>
      <c r="B323" s="838"/>
      <c r="C323" s="869"/>
      <c r="D323" s="530"/>
      <c r="E323" s="530"/>
      <c r="F323" s="870"/>
      <c r="G323" s="871"/>
      <c r="H323" s="871"/>
      <c r="I323" s="872"/>
      <c r="J323" s="872"/>
      <c r="K323" s="872" t="s">
        <v>1152</v>
      </c>
      <c r="L323" s="872">
        <v>519</v>
      </c>
      <c r="M323" s="873"/>
      <c r="O323" s="872">
        <f t="shared" si="53"/>
        <v>550.14</v>
      </c>
      <c r="P323" s="872">
        <f t="shared" si="50"/>
        <v>583.1484</v>
      </c>
    </row>
    <row r="324" spans="1:16" s="868" customFormat="1" ht="12.75">
      <c r="A324" s="868" t="s">
        <v>1404</v>
      </c>
      <c r="B324" s="838"/>
      <c r="C324" s="869"/>
      <c r="D324" s="530"/>
      <c r="E324" s="530"/>
      <c r="F324" s="870"/>
      <c r="G324" s="871"/>
      <c r="H324" s="871"/>
      <c r="I324" s="872"/>
      <c r="J324" s="872"/>
      <c r="K324" s="872" t="s">
        <v>1152</v>
      </c>
      <c r="L324" s="872">
        <v>472</v>
      </c>
      <c r="M324" s="873"/>
      <c r="O324" s="872">
        <f t="shared" si="53"/>
        <v>500.32</v>
      </c>
      <c r="P324" s="872">
        <f t="shared" si="50"/>
        <v>530.3392</v>
      </c>
    </row>
    <row r="325" spans="1:16" s="22" customFormat="1" ht="12.75">
      <c r="A325" s="22" t="s">
        <v>473</v>
      </c>
      <c r="B325" s="69">
        <v>225</v>
      </c>
      <c r="C325" s="82">
        <f>B325*1.1</f>
        <v>247.50000000000003</v>
      </c>
      <c r="D325" s="175">
        <f>C325*1.1</f>
        <v>272.25000000000006</v>
      </c>
      <c r="E325" s="175">
        <f>D325*1.1</f>
        <v>299.4750000000001</v>
      </c>
      <c r="F325" s="84">
        <f>(E325-D325)/D325</f>
        <v>0.10000000000000006</v>
      </c>
      <c r="G325" s="841">
        <v>352.4820750000002</v>
      </c>
      <c r="H325" s="841">
        <f>G325*1.06</f>
        <v>373.6309995000002</v>
      </c>
      <c r="I325" s="831">
        <f>H325*1.06</f>
        <v>396.04885947000025</v>
      </c>
      <c r="J325" s="831">
        <f>(I325*$M$12)+I325</f>
        <v>419.8117910382003</v>
      </c>
      <c r="K325" s="831">
        <f>(J325*$M$12)+J325</f>
        <v>445.0004985004923</v>
      </c>
      <c r="L325" s="831"/>
      <c r="M325" s="953"/>
      <c r="O325" s="831"/>
      <c r="P325" s="831"/>
    </row>
    <row r="326" spans="1:16" s="868" customFormat="1" ht="12.75">
      <c r="A326" s="868" t="s">
        <v>822</v>
      </c>
      <c r="B326" s="838"/>
      <c r="C326" s="869"/>
      <c r="D326" s="530"/>
      <c r="E326" s="530"/>
      <c r="F326" s="870"/>
      <c r="G326" s="871"/>
      <c r="H326" s="871"/>
      <c r="I326" s="872"/>
      <c r="J326" s="872"/>
      <c r="K326" s="872" t="s">
        <v>1152</v>
      </c>
      <c r="L326" s="872">
        <v>472</v>
      </c>
      <c r="M326" s="873"/>
      <c r="O326" s="872">
        <f aca="true" t="shared" si="54" ref="O326:O332">(L326*$O$7)+L326</f>
        <v>500.32</v>
      </c>
      <c r="P326" s="872">
        <f t="shared" si="50"/>
        <v>530.3392</v>
      </c>
    </row>
    <row r="327" spans="1:16" s="868" customFormat="1" ht="12.75">
      <c r="A327" s="868" t="s">
        <v>823</v>
      </c>
      <c r="B327" s="838"/>
      <c r="C327" s="869"/>
      <c r="D327" s="530"/>
      <c r="E327" s="530"/>
      <c r="F327" s="870"/>
      <c r="G327" s="871"/>
      <c r="H327" s="871"/>
      <c r="I327" s="872"/>
      <c r="J327" s="872"/>
      <c r="K327" s="872" t="s">
        <v>1152</v>
      </c>
      <c r="L327" s="872">
        <v>472</v>
      </c>
      <c r="M327" s="873"/>
      <c r="O327" s="872">
        <f t="shared" si="54"/>
        <v>500.32</v>
      </c>
      <c r="P327" s="872">
        <f t="shared" si="50"/>
        <v>530.3392</v>
      </c>
    </row>
    <row r="328" spans="1:16" s="868" customFormat="1" ht="12.75">
      <c r="A328" s="868" t="s">
        <v>817</v>
      </c>
      <c r="B328" s="838"/>
      <c r="C328" s="869"/>
      <c r="D328" s="530"/>
      <c r="E328" s="530"/>
      <c r="F328" s="870"/>
      <c r="G328" s="871"/>
      <c r="H328" s="871"/>
      <c r="I328" s="872"/>
      <c r="J328" s="872"/>
      <c r="K328" s="872" t="s">
        <v>1152</v>
      </c>
      <c r="L328" s="872">
        <v>519</v>
      </c>
      <c r="M328" s="873"/>
      <c r="O328" s="872">
        <f t="shared" si="54"/>
        <v>550.14</v>
      </c>
      <c r="P328" s="872">
        <f t="shared" si="50"/>
        <v>583.1484</v>
      </c>
    </row>
    <row r="329" spans="1:16" s="868" customFormat="1" ht="12.75">
      <c r="A329" s="868" t="s">
        <v>818</v>
      </c>
      <c r="B329" s="838"/>
      <c r="C329" s="869"/>
      <c r="D329" s="530"/>
      <c r="E329" s="530"/>
      <c r="F329" s="870"/>
      <c r="G329" s="871"/>
      <c r="H329" s="871"/>
      <c r="I329" s="872"/>
      <c r="J329" s="872"/>
      <c r="K329" s="872" t="s">
        <v>1152</v>
      </c>
      <c r="L329" s="872">
        <v>519</v>
      </c>
      <c r="M329" s="873"/>
      <c r="O329" s="872">
        <f t="shared" si="54"/>
        <v>550.14</v>
      </c>
      <c r="P329" s="872">
        <f t="shared" si="50"/>
        <v>583.1484</v>
      </c>
    </row>
    <row r="330" spans="1:16" s="868" customFormat="1" ht="12.75">
      <c r="A330" s="868" t="s">
        <v>820</v>
      </c>
      <c r="B330" s="838"/>
      <c r="C330" s="869"/>
      <c r="D330" s="530"/>
      <c r="E330" s="530"/>
      <c r="F330" s="870"/>
      <c r="G330" s="871"/>
      <c r="H330" s="871"/>
      <c r="I330" s="872"/>
      <c r="J330" s="872"/>
      <c r="K330" s="872" t="s">
        <v>1152</v>
      </c>
      <c r="L330" s="872">
        <v>519</v>
      </c>
      <c r="M330" s="873"/>
      <c r="O330" s="872">
        <f t="shared" si="54"/>
        <v>550.14</v>
      </c>
      <c r="P330" s="872">
        <f t="shared" si="50"/>
        <v>583.1484</v>
      </c>
    </row>
    <row r="331" spans="1:16" s="868" customFormat="1" ht="12.75">
      <c r="A331" s="868" t="s">
        <v>819</v>
      </c>
      <c r="B331" s="838"/>
      <c r="C331" s="869"/>
      <c r="D331" s="530"/>
      <c r="E331" s="530"/>
      <c r="F331" s="870"/>
      <c r="G331" s="871"/>
      <c r="H331" s="871"/>
      <c r="I331" s="872"/>
      <c r="J331" s="872"/>
      <c r="K331" s="872" t="s">
        <v>1152</v>
      </c>
      <c r="L331" s="872">
        <v>519</v>
      </c>
      <c r="M331" s="873"/>
      <c r="O331" s="872">
        <f t="shared" si="54"/>
        <v>550.14</v>
      </c>
      <c r="P331" s="872">
        <f t="shared" si="50"/>
        <v>583.1484</v>
      </c>
    </row>
    <row r="332" spans="1:16" s="868" customFormat="1" ht="12.75">
      <c r="A332" s="868" t="s">
        <v>1404</v>
      </c>
      <c r="B332" s="838"/>
      <c r="C332" s="869"/>
      <c r="D332" s="530"/>
      <c r="E332" s="530"/>
      <c r="F332" s="870"/>
      <c r="G332" s="871"/>
      <c r="H332" s="871"/>
      <c r="I332" s="872"/>
      <c r="J332" s="872"/>
      <c r="K332" s="872" t="s">
        <v>1152</v>
      </c>
      <c r="L332" s="872">
        <v>472</v>
      </c>
      <c r="M332" s="873"/>
      <c r="O332" s="872">
        <f t="shared" si="54"/>
        <v>500.32</v>
      </c>
      <c r="P332" s="872">
        <f t="shared" si="50"/>
        <v>530.3392</v>
      </c>
    </row>
    <row r="333" spans="1:16" s="22" customFormat="1" ht="12.75">
      <c r="A333" s="22" t="s">
        <v>474</v>
      </c>
      <c r="B333" s="69">
        <v>225</v>
      </c>
      <c r="C333" s="82">
        <f>B333*1.1</f>
        <v>247.50000000000003</v>
      </c>
      <c r="D333" s="175">
        <f>C333*1.1</f>
        <v>272.25000000000006</v>
      </c>
      <c r="E333" s="175">
        <f>D333*1.1</f>
        <v>299.4750000000001</v>
      </c>
      <c r="F333" s="84">
        <f>(E333-D333)/D333</f>
        <v>0.10000000000000006</v>
      </c>
      <c r="G333" s="841">
        <v>352.4820750000002</v>
      </c>
      <c r="H333" s="841">
        <f>G333*1.06</f>
        <v>373.6309995000002</v>
      </c>
      <c r="I333" s="831">
        <f>H333*1.06</f>
        <v>396.04885947000025</v>
      </c>
      <c r="J333" s="831">
        <f>(I333*$M$12)+I333</f>
        <v>419.8117910382003</v>
      </c>
      <c r="K333" s="831">
        <f>(J333*$M$12)+J333</f>
        <v>445.0004985004923</v>
      </c>
      <c r="L333" s="831"/>
      <c r="M333" s="953"/>
      <c r="O333" s="831"/>
      <c r="P333" s="831"/>
    </row>
    <row r="334" spans="1:16" s="868" customFormat="1" ht="12.75">
      <c r="A334" s="868" t="s">
        <v>822</v>
      </c>
      <c r="B334" s="838"/>
      <c r="C334" s="869"/>
      <c r="D334" s="530"/>
      <c r="E334" s="530"/>
      <c r="F334" s="870"/>
      <c r="G334" s="871"/>
      <c r="H334" s="871"/>
      <c r="I334" s="872"/>
      <c r="J334" s="872"/>
      <c r="K334" s="872" t="s">
        <v>1152</v>
      </c>
      <c r="L334" s="872">
        <v>472</v>
      </c>
      <c r="M334" s="873"/>
      <c r="O334" s="872">
        <f aca="true" t="shared" si="55" ref="O334:O340">(L334*$O$7)+L334</f>
        <v>500.32</v>
      </c>
      <c r="P334" s="872">
        <f t="shared" si="50"/>
        <v>530.3392</v>
      </c>
    </row>
    <row r="335" spans="1:16" s="868" customFormat="1" ht="12.75">
      <c r="A335" s="868" t="s">
        <v>823</v>
      </c>
      <c r="B335" s="838"/>
      <c r="C335" s="869"/>
      <c r="D335" s="530"/>
      <c r="E335" s="530"/>
      <c r="F335" s="870"/>
      <c r="G335" s="871"/>
      <c r="H335" s="871"/>
      <c r="I335" s="872"/>
      <c r="J335" s="872"/>
      <c r="K335" s="872" t="s">
        <v>1152</v>
      </c>
      <c r="L335" s="872">
        <v>472</v>
      </c>
      <c r="M335" s="873"/>
      <c r="O335" s="872">
        <f t="shared" si="55"/>
        <v>500.32</v>
      </c>
      <c r="P335" s="872">
        <f t="shared" si="50"/>
        <v>530.3392</v>
      </c>
    </row>
    <row r="336" spans="1:16" s="868" customFormat="1" ht="12.75">
      <c r="A336" s="868" t="s">
        <v>817</v>
      </c>
      <c r="B336" s="838"/>
      <c r="C336" s="869"/>
      <c r="D336" s="530"/>
      <c r="E336" s="530"/>
      <c r="F336" s="870"/>
      <c r="G336" s="871"/>
      <c r="H336" s="871"/>
      <c r="I336" s="872"/>
      <c r="J336" s="872"/>
      <c r="K336" s="872" t="s">
        <v>1152</v>
      </c>
      <c r="L336" s="872">
        <v>519</v>
      </c>
      <c r="M336" s="873"/>
      <c r="O336" s="872">
        <f t="shared" si="55"/>
        <v>550.14</v>
      </c>
      <c r="P336" s="872">
        <f t="shared" si="50"/>
        <v>583.1484</v>
      </c>
    </row>
    <row r="337" spans="1:16" s="868" customFormat="1" ht="12.75">
      <c r="A337" s="868" t="s">
        <v>818</v>
      </c>
      <c r="B337" s="838"/>
      <c r="C337" s="869"/>
      <c r="D337" s="530"/>
      <c r="E337" s="530"/>
      <c r="F337" s="870"/>
      <c r="G337" s="871"/>
      <c r="H337" s="871"/>
      <c r="I337" s="872"/>
      <c r="J337" s="872"/>
      <c r="K337" s="872" t="s">
        <v>1152</v>
      </c>
      <c r="L337" s="872">
        <v>519</v>
      </c>
      <c r="M337" s="873"/>
      <c r="O337" s="872">
        <f t="shared" si="55"/>
        <v>550.14</v>
      </c>
      <c r="P337" s="872">
        <f t="shared" si="50"/>
        <v>583.1484</v>
      </c>
    </row>
    <row r="338" spans="1:16" s="868" customFormat="1" ht="12.75">
      <c r="A338" s="868" t="s">
        <v>820</v>
      </c>
      <c r="B338" s="838"/>
      <c r="C338" s="869"/>
      <c r="D338" s="530"/>
      <c r="E338" s="530"/>
      <c r="F338" s="870"/>
      <c r="G338" s="871"/>
      <c r="H338" s="871"/>
      <c r="I338" s="872"/>
      <c r="J338" s="872"/>
      <c r="K338" s="872" t="s">
        <v>1152</v>
      </c>
      <c r="L338" s="872">
        <v>519</v>
      </c>
      <c r="M338" s="873"/>
      <c r="O338" s="872">
        <f t="shared" si="55"/>
        <v>550.14</v>
      </c>
      <c r="P338" s="872">
        <f t="shared" si="50"/>
        <v>583.1484</v>
      </c>
    </row>
    <row r="339" spans="1:16" s="868" customFormat="1" ht="12.75">
      <c r="A339" s="868" t="s">
        <v>819</v>
      </c>
      <c r="B339" s="838"/>
      <c r="C339" s="869"/>
      <c r="D339" s="530"/>
      <c r="E339" s="530"/>
      <c r="F339" s="870"/>
      <c r="G339" s="871"/>
      <c r="H339" s="871"/>
      <c r="I339" s="872"/>
      <c r="J339" s="872"/>
      <c r="K339" s="872" t="s">
        <v>1152</v>
      </c>
      <c r="L339" s="872">
        <v>519</v>
      </c>
      <c r="M339" s="873"/>
      <c r="O339" s="872">
        <f t="shared" si="55"/>
        <v>550.14</v>
      </c>
      <c r="P339" s="872">
        <f t="shared" si="50"/>
        <v>583.1484</v>
      </c>
    </row>
    <row r="340" spans="1:16" s="868" customFormat="1" ht="12.75">
      <c r="A340" s="868" t="s">
        <v>1404</v>
      </c>
      <c r="C340" s="838"/>
      <c r="D340" s="530"/>
      <c r="E340" s="874"/>
      <c r="G340" s="875"/>
      <c r="H340" s="876"/>
      <c r="I340" s="872"/>
      <c r="J340" s="872"/>
      <c r="K340" s="872" t="s">
        <v>1152</v>
      </c>
      <c r="L340" s="872">
        <v>472</v>
      </c>
      <c r="M340" s="873"/>
      <c r="O340" s="872">
        <f t="shared" si="55"/>
        <v>500.32</v>
      </c>
      <c r="P340" s="872">
        <f t="shared" si="50"/>
        <v>530.3392</v>
      </c>
    </row>
    <row r="341" spans="4:15" ht="12.75">
      <c r="D341" s="66"/>
      <c r="E341" s="70"/>
      <c r="H341" s="23"/>
      <c r="I341" s="271"/>
      <c r="J341" s="271"/>
      <c r="K341" s="271"/>
      <c r="L341" s="271"/>
      <c r="M341" s="832"/>
      <c r="O341" s="271"/>
    </row>
    <row r="342" spans="1:15" s="22" customFormat="1" ht="12.75">
      <c r="A342" s="22" t="s">
        <v>280</v>
      </c>
      <c r="C342" s="69"/>
      <c r="D342" s="66"/>
      <c r="E342" s="70"/>
      <c r="G342" s="102"/>
      <c r="H342" s="23"/>
      <c r="I342" s="271"/>
      <c r="J342" s="271"/>
      <c r="K342" s="271"/>
      <c r="L342" s="271"/>
      <c r="M342" s="832"/>
      <c r="O342" s="271"/>
    </row>
    <row r="343" spans="1:16" s="22" customFormat="1" ht="12.75">
      <c r="A343" s="22" t="s">
        <v>271</v>
      </c>
      <c r="B343" s="69">
        <v>519.2812800000002</v>
      </c>
      <c r="C343" s="82">
        <f>B343*1.1</f>
        <v>571.2094080000002</v>
      </c>
      <c r="D343" s="175">
        <f>C343*1.1</f>
        <v>628.3303488000003</v>
      </c>
      <c r="E343" s="175">
        <f>D343*1.1</f>
        <v>691.1633836800004</v>
      </c>
      <c r="F343" s="84">
        <f>(E343-D343)/D343</f>
        <v>0.10000000000000016</v>
      </c>
      <c r="G343" s="841">
        <v>813.4993025913606</v>
      </c>
      <c r="H343" s="841">
        <f>G343*1.06</f>
        <v>862.3092607468423</v>
      </c>
      <c r="I343" s="831">
        <f>H343*1.06</f>
        <v>914.0478163916529</v>
      </c>
      <c r="J343" s="831">
        <f>(I343*$M$12)+I343</f>
        <v>968.8906853751521</v>
      </c>
      <c r="K343" s="831">
        <f>(J343*$M$12)+J343</f>
        <v>1027.0241264976612</v>
      </c>
      <c r="L343" s="831"/>
      <c r="M343" s="953"/>
      <c r="O343" s="831"/>
      <c r="P343" s="831"/>
    </row>
    <row r="344" spans="1:16" s="868" customFormat="1" ht="12.75">
      <c r="A344" s="868" t="s">
        <v>822</v>
      </c>
      <c r="B344" s="838"/>
      <c r="C344" s="869"/>
      <c r="D344" s="530"/>
      <c r="E344" s="530"/>
      <c r="F344" s="870"/>
      <c r="G344" s="871"/>
      <c r="H344" s="871"/>
      <c r="I344" s="872"/>
      <c r="J344" s="872"/>
      <c r="K344" s="872" t="s">
        <v>1152</v>
      </c>
      <c r="L344" s="872">
        <v>1089</v>
      </c>
      <c r="M344" s="873"/>
      <c r="O344" s="872">
        <f aca="true" t="shared" si="56" ref="O344:O350">(L344*$O$7)+L344</f>
        <v>1154.34</v>
      </c>
      <c r="P344" s="872">
        <f aca="true" t="shared" si="57" ref="P344:P350">(O344*$P$7)+O344</f>
        <v>1223.6003999999998</v>
      </c>
    </row>
    <row r="345" spans="1:16" s="868" customFormat="1" ht="12.75">
      <c r="A345" s="868" t="s">
        <v>823</v>
      </c>
      <c r="B345" s="838"/>
      <c r="C345" s="869"/>
      <c r="D345" s="530"/>
      <c r="E345" s="530"/>
      <c r="F345" s="870"/>
      <c r="G345" s="871"/>
      <c r="H345" s="871"/>
      <c r="I345" s="872"/>
      <c r="J345" s="872"/>
      <c r="K345" s="872" t="s">
        <v>1152</v>
      </c>
      <c r="L345" s="872">
        <v>1089</v>
      </c>
      <c r="M345" s="873"/>
      <c r="O345" s="872">
        <f t="shared" si="56"/>
        <v>1154.34</v>
      </c>
      <c r="P345" s="872">
        <f t="shared" si="57"/>
        <v>1223.6003999999998</v>
      </c>
    </row>
    <row r="346" spans="1:16" s="868" customFormat="1" ht="12.75">
      <c r="A346" s="868" t="s">
        <v>817</v>
      </c>
      <c r="B346" s="838"/>
      <c r="C346" s="869"/>
      <c r="D346" s="530"/>
      <c r="E346" s="530"/>
      <c r="F346" s="870"/>
      <c r="G346" s="871"/>
      <c r="H346" s="871"/>
      <c r="I346" s="872"/>
      <c r="J346" s="872"/>
      <c r="K346" s="872" t="s">
        <v>1152</v>
      </c>
      <c r="L346" s="872">
        <v>1198</v>
      </c>
      <c r="M346" s="873"/>
      <c r="O346" s="872">
        <f t="shared" si="56"/>
        <v>1269.88</v>
      </c>
      <c r="P346" s="872">
        <f t="shared" si="57"/>
        <v>1346.0728000000001</v>
      </c>
    </row>
    <row r="347" spans="1:16" s="868" customFormat="1" ht="12.75">
      <c r="A347" s="868" t="s">
        <v>818</v>
      </c>
      <c r="B347" s="838"/>
      <c r="C347" s="869"/>
      <c r="D347" s="530"/>
      <c r="E347" s="530"/>
      <c r="F347" s="870"/>
      <c r="G347" s="871"/>
      <c r="H347" s="871"/>
      <c r="I347" s="872"/>
      <c r="J347" s="872"/>
      <c r="K347" s="872" t="s">
        <v>1152</v>
      </c>
      <c r="L347" s="872">
        <v>1198</v>
      </c>
      <c r="M347" s="873"/>
      <c r="O347" s="872">
        <f t="shared" si="56"/>
        <v>1269.88</v>
      </c>
      <c r="P347" s="872">
        <f t="shared" si="57"/>
        <v>1346.0728000000001</v>
      </c>
    </row>
    <row r="348" spans="1:16" s="868" customFormat="1" ht="12.75">
      <c r="A348" s="868" t="s">
        <v>820</v>
      </c>
      <c r="B348" s="838"/>
      <c r="C348" s="869"/>
      <c r="D348" s="530"/>
      <c r="E348" s="530"/>
      <c r="F348" s="870"/>
      <c r="G348" s="871"/>
      <c r="H348" s="871"/>
      <c r="I348" s="872"/>
      <c r="J348" s="872"/>
      <c r="K348" s="872" t="s">
        <v>1152</v>
      </c>
      <c r="L348" s="872">
        <v>1198</v>
      </c>
      <c r="M348" s="873"/>
      <c r="O348" s="872">
        <f t="shared" si="56"/>
        <v>1269.88</v>
      </c>
      <c r="P348" s="872">
        <f t="shared" si="57"/>
        <v>1346.0728000000001</v>
      </c>
    </row>
    <row r="349" spans="1:16" s="868" customFormat="1" ht="12.75">
      <c r="A349" s="868" t="s">
        <v>819</v>
      </c>
      <c r="B349" s="838"/>
      <c r="C349" s="869"/>
      <c r="D349" s="530"/>
      <c r="E349" s="530"/>
      <c r="F349" s="870"/>
      <c r="G349" s="871"/>
      <c r="H349" s="871"/>
      <c r="I349" s="872"/>
      <c r="J349" s="872"/>
      <c r="K349" s="872" t="s">
        <v>1152</v>
      </c>
      <c r="L349" s="872">
        <v>1198</v>
      </c>
      <c r="M349" s="873"/>
      <c r="O349" s="872">
        <f t="shared" si="56"/>
        <v>1269.88</v>
      </c>
      <c r="P349" s="872">
        <f t="shared" si="57"/>
        <v>1346.0728000000001</v>
      </c>
    </row>
    <row r="350" spans="1:16" s="868" customFormat="1" ht="12.75">
      <c r="A350" s="868" t="s">
        <v>1404</v>
      </c>
      <c r="B350" s="838"/>
      <c r="C350" s="869"/>
      <c r="D350" s="530"/>
      <c r="E350" s="530"/>
      <c r="F350" s="870"/>
      <c r="G350" s="871"/>
      <c r="H350" s="871"/>
      <c r="I350" s="872"/>
      <c r="J350" s="872"/>
      <c r="K350" s="872" t="s">
        <v>1152</v>
      </c>
      <c r="L350" s="872">
        <v>1089</v>
      </c>
      <c r="M350" s="873"/>
      <c r="O350" s="872">
        <f t="shared" si="56"/>
        <v>1154.34</v>
      </c>
      <c r="P350" s="872">
        <f t="shared" si="57"/>
        <v>1223.6003999999998</v>
      </c>
    </row>
    <row r="351" spans="1:16" s="22" customFormat="1" ht="12.75">
      <c r="A351" s="22" t="s">
        <v>273</v>
      </c>
      <c r="B351" s="69">
        <v>519.2812800000002</v>
      </c>
      <c r="C351" s="82">
        <f>B351*1.1</f>
        <v>571.2094080000002</v>
      </c>
      <c r="D351" s="175">
        <f>C351*1.1</f>
        <v>628.3303488000003</v>
      </c>
      <c r="E351" s="175">
        <f>D351*1.1</f>
        <v>691.1633836800004</v>
      </c>
      <c r="F351" s="84">
        <f>(E351-D351)/D351</f>
        <v>0.10000000000000016</v>
      </c>
      <c r="G351" s="841">
        <v>813.4993025913606</v>
      </c>
      <c r="H351" s="841">
        <f>G351*1.06</f>
        <v>862.3092607468423</v>
      </c>
      <c r="I351" s="831">
        <f>H351*1.06</f>
        <v>914.0478163916529</v>
      </c>
      <c r="J351" s="831">
        <f>(I351*$M$12)+I351</f>
        <v>968.8906853751521</v>
      </c>
      <c r="K351" s="831">
        <f>(J351*$M$12)+J351</f>
        <v>1027.0241264976612</v>
      </c>
      <c r="L351" s="831"/>
      <c r="M351" s="953"/>
      <c r="O351" s="831"/>
      <c r="P351" s="831"/>
    </row>
    <row r="352" spans="1:16" s="868" customFormat="1" ht="12.75">
      <c r="A352" s="868" t="s">
        <v>822</v>
      </c>
      <c r="B352" s="838"/>
      <c r="C352" s="869"/>
      <c r="D352" s="530"/>
      <c r="E352" s="530"/>
      <c r="F352" s="870"/>
      <c r="G352" s="871"/>
      <c r="H352" s="871"/>
      <c r="I352" s="872"/>
      <c r="J352" s="872"/>
      <c r="K352" s="872" t="s">
        <v>1152</v>
      </c>
      <c r="L352" s="872">
        <v>1089</v>
      </c>
      <c r="M352" s="873"/>
      <c r="O352" s="872">
        <f aca="true" t="shared" si="58" ref="O352:O358">(L352*$O$7)+L352</f>
        <v>1154.34</v>
      </c>
      <c r="P352" s="872">
        <f aca="true" t="shared" si="59" ref="P352:P358">(O352*$P$7)+O352</f>
        <v>1223.6003999999998</v>
      </c>
    </row>
    <row r="353" spans="1:16" s="868" customFormat="1" ht="12.75">
      <c r="A353" s="868" t="s">
        <v>823</v>
      </c>
      <c r="B353" s="838"/>
      <c r="C353" s="869"/>
      <c r="D353" s="530"/>
      <c r="E353" s="530"/>
      <c r="F353" s="870"/>
      <c r="G353" s="871"/>
      <c r="H353" s="871"/>
      <c r="I353" s="872"/>
      <c r="J353" s="872"/>
      <c r="K353" s="872" t="s">
        <v>1152</v>
      </c>
      <c r="L353" s="872">
        <v>1089</v>
      </c>
      <c r="M353" s="873"/>
      <c r="O353" s="872">
        <f t="shared" si="58"/>
        <v>1154.34</v>
      </c>
      <c r="P353" s="872">
        <f t="shared" si="59"/>
        <v>1223.6003999999998</v>
      </c>
    </row>
    <row r="354" spans="1:16" s="868" customFormat="1" ht="12.75">
      <c r="A354" s="868" t="s">
        <v>817</v>
      </c>
      <c r="B354" s="838"/>
      <c r="C354" s="869"/>
      <c r="D354" s="530"/>
      <c r="E354" s="530"/>
      <c r="F354" s="870"/>
      <c r="G354" s="871"/>
      <c r="H354" s="871"/>
      <c r="I354" s="872"/>
      <c r="J354" s="872"/>
      <c r="K354" s="872" t="s">
        <v>1152</v>
      </c>
      <c r="L354" s="872">
        <v>1198</v>
      </c>
      <c r="M354" s="873"/>
      <c r="O354" s="872">
        <f t="shared" si="58"/>
        <v>1269.88</v>
      </c>
      <c r="P354" s="872">
        <f t="shared" si="59"/>
        <v>1346.0728000000001</v>
      </c>
    </row>
    <row r="355" spans="1:16" s="868" customFormat="1" ht="12.75">
      <c r="A355" s="868" t="s">
        <v>818</v>
      </c>
      <c r="B355" s="838"/>
      <c r="C355" s="869"/>
      <c r="D355" s="530"/>
      <c r="E355" s="530"/>
      <c r="F355" s="870"/>
      <c r="G355" s="871"/>
      <c r="H355" s="871"/>
      <c r="I355" s="872"/>
      <c r="J355" s="872"/>
      <c r="K355" s="872" t="s">
        <v>1152</v>
      </c>
      <c r="L355" s="872">
        <v>1198</v>
      </c>
      <c r="M355" s="873"/>
      <c r="O355" s="872">
        <f t="shared" si="58"/>
        <v>1269.88</v>
      </c>
      <c r="P355" s="872">
        <f t="shared" si="59"/>
        <v>1346.0728000000001</v>
      </c>
    </row>
    <row r="356" spans="1:16" s="868" customFormat="1" ht="12.75">
      <c r="A356" s="868" t="s">
        <v>820</v>
      </c>
      <c r="B356" s="838"/>
      <c r="C356" s="869"/>
      <c r="D356" s="530"/>
      <c r="E356" s="530"/>
      <c r="F356" s="870"/>
      <c r="G356" s="871"/>
      <c r="H356" s="871"/>
      <c r="I356" s="872"/>
      <c r="J356" s="872"/>
      <c r="K356" s="872" t="s">
        <v>1152</v>
      </c>
      <c r="L356" s="872">
        <v>1198</v>
      </c>
      <c r="M356" s="873"/>
      <c r="O356" s="872">
        <f t="shared" si="58"/>
        <v>1269.88</v>
      </c>
      <c r="P356" s="872">
        <f t="shared" si="59"/>
        <v>1346.0728000000001</v>
      </c>
    </row>
    <row r="357" spans="1:16" s="868" customFormat="1" ht="12.75">
      <c r="A357" s="868" t="s">
        <v>819</v>
      </c>
      <c r="B357" s="838"/>
      <c r="C357" s="869"/>
      <c r="D357" s="530"/>
      <c r="E357" s="530"/>
      <c r="F357" s="870"/>
      <c r="G357" s="871"/>
      <c r="H357" s="871"/>
      <c r="I357" s="872"/>
      <c r="J357" s="872"/>
      <c r="K357" s="872" t="s">
        <v>1152</v>
      </c>
      <c r="L357" s="872">
        <v>1198</v>
      </c>
      <c r="M357" s="873"/>
      <c r="O357" s="872">
        <f t="shared" si="58"/>
        <v>1269.88</v>
      </c>
      <c r="P357" s="872">
        <f t="shared" si="59"/>
        <v>1346.0728000000001</v>
      </c>
    </row>
    <row r="358" spans="1:16" s="868" customFormat="1" ht="12.75">
      <c r="A358" s="868" t="s">
        <v>1404</v>
      </c>
      <c r="B358" s="838"/>
      <c r="C358" s="869"/>
      <c r="D358" s="530"/>
      <c r="E358" s="530"/>
      <c r="F358" s="870"/>
      <c r="G358" s="871"/>
      <c r="H358" s="871"/>
      <c r="I358" s="872"/>
      <c r="J358" s="872"/>
      <c r="K358" s="872" t="s">
        <v>1152</v>
      </c>
      <c r="L358" s="872">
        <v>1089</v>
      </c>
      <c r="M358" s="873"/>
      <c r="O358" s="872">
        <f t="shared" si="58"/>
        <v>1154.34</v>
      </c>
      <c r="P358" s="872">
        <f t="shared" si="59"/>
        <v>1223.6003999999998</v>
      </c>
    </row>
    <row r="359" spans="1:16" s="22" customFormat="1" ht="12.75">
      <c r="A359" s="22" t="s">
        <v>274</v>
      </c>
      <c r="B359" s="69">
        <v>519.2812800000002</v>
      </c>
      <c r="C359" s="82">
        <f>B359*1.1</f>
        <v>571.2094080000002</v>
      </c>
      <c r="D359" s="175">
        <f>C359*1.1</f>
        <v>628.3303488000003</v>
      </c>
      <c r="E359" s="175">
        <f>D359*1.1</f>
        <v>691.1633836800004</v>
      </c>
      <c r="F359" s="84">
        <f>(E359-D359)/D359</f>
        <v>0.10000000000000016</v>
      </c>
      <c r="G359" s="841">
        <v>813.4993025913606</v>
      </c>
      <c r="H359" s="841">
        <f>G359*1.06</f>
        <v>862.3092607468423</v>
      </c>
      <c r="I359" s="831">
        <f>H359*1.06</f>
        <v>914.0478163916529</v>
      </c>
      <c r="J359" s="831">
        <f>(I359*$M$12)+I359</f>
        <v>968.8906853751521</v>
      </c>
      <c r="K359" s="831">
        <f>(J359*$M$12)+J359</f>
        <v>1027.0241264976612</v>
      </c>
      <c r="L359" s="831"/>
      <c r="M359" s="953"/>
      <c r="O359" s="831"/>
      <c r="P359" s="831"/>
    </row>
    <row r="360" spans="1:16" s="868" customFormat="1" ht="12.75">
      <c r="A360" s="868" t="s">
        <v>822</v>
      </c>
      <c r="B360" s="838"/>
      <c r="C360" s="869"/>
      <c r="D360" s="530"/>
      <c r="E360" s="530"/>
      <c r="F360" s="870"/>
      <c r="G360" s="871"/>
      <c r="H360" s="871"/>
      <c r="I360" s="872"/>
      <c r="J360" s="872"/>
      <c r="K360" s="872" t="s">
        <v>1152</v>
      </c>
      <c r="L360" s="872">
        <v>1089</v>
      </c>
      <c r="M360" s="873"/>
      <c r="O360" s="872">
        <f aca="true" t="shared" si="60" ref="O360:O366">(L360*$O$7)+L360</f>
        <v>1154.34</v>
      </c>
      <c r="P360" s="872">
        <f aca="true" t="shared" si="61" ref="P360:P366">(O360*$P$7)+O360</f>
        <v>1223.6003999999998</v>
      </c>
    </row>
    <row r="361" spans="1:16" s="868" customFormat="1" ht="12.75">
      <c r="A361" s="868" t="s">
        <v>823</v>
      </c>
      <c r="B361" s="838"/>
      <c r="C361" s="869"/>
      <c r="D361" s="530"/>
      <c r="E361" s="530"/>
      <c r="F361" s="870"/>
      <c r="G361" s="871"/>
      <c r="H361" s="871"/>
      <c r="I361" s="872"/>
      <c r="J361" s="872"/>
      <c r="K361" s="872" t="s">
        <v>1152</v>
      </c>
      <c r="L361" s="872">
        <v>1089</v>
      </c>
      <c r="M361" s="873"/>
      <c r="O361" s="872">
        <f t="shared" si="60"/>
        <v>1154.34</v>
      </c>
      <c r="P361" s="872">
        <f t="shared" si="61"/>
        <v>1223.6003999999998</v>
      </c>
    </row>
    <row r="362" spans="1:16" s="868" customFormat="1" ht="12.75">
      <c r="A362" s="868" t="s">
        <v>817</v>
      </c>
      <c r="B362" s="838"/>
      <c r="C362" s="869"/>
      <c r="D362" s="530"/>
      <c r="E362" s="530"/>
      <c r="F362" s="870"/>
      <c r="G362" s="871"/>
      <c r="H362" s="871"/>
      <c r="I362" s="872"/>
      <c r="J362" s="872"/>
      <c r="K362" s="872" t="s">
        <v>1152</v>
      </c>
      <c r="L362" s="872">
        <v>1198</v>
      </c>
      <c r="M362" s="873"/>
      <c r="O362" s="872">
        <f t="shared" si="60"/>
        <v>1269.88</v>
      </c>
      <c r="P362" s="872">
        <f t="shared" si="61"/>
        <v>1346.0728000000001</v>
      </c>
    </row>
    <row r="363" spans="1:16" s="868" customFormat="1" ht="12.75">
      <c r="A363" s="868" t="s">
        <v>818</v>
      </c>
      <c r="B363" s="838"/>
      <c r="C363" s="869"/>
      <c r="D363" s="530"/>
      <c r="E363" s="530"/>
      <c r="F363" s="870"/>
      <c r="G363" s="871"/>
      <c r="H363" s="871"/>
      <c r="I363" s="872"/>
      <c r="J363" s="872"/>
      <c r="K363" s="872" t="s">
        <v>1152</v>
      </c>
      <c r="L363" s="872">
        <v>1198</v>
      </c>
      <c r="M363" s="873"/>
      <c r="O363" s="872">
        <f t="shared" si="60"/>
        <v>1269.88</v>
      </c>
      <c r="P363" s="872">
        <f t="shared" si="61"/>
        <v>1346.0728000000001</v>
      </c>
    </row>
    <row r="364" spans="1:16" s="868" customFormat="1" ht="12.75">
      <c r="A364" s="868" t="s">
        <v>820</v>
      </c>
      <c r="B364" s="838"/>
      <c r="C364" s="869"/>
      <c r="D364" s="530"/>
      <c r="E364" s="530"/>
      <c r="F364" s="870"/>
      <c r="G364" s="871"/>
      <c r="H364" s="871"/>
      <c r="I364" s="872"/>
      <c r="J364" s="872"/>
      <c r="K364" s="872" t="s">
        <v>1152</v>
      </c>
      <c r="L364" s="872">
        <v>1198</v>
      </c>
      <c r="M364" s="873"/>
      <c r="O364" s="872">
        <f t="shared" si="60"/>
        <v>1269.88</v>
      </c>
      <c r="P364" s="872">
        <f t="shared" si="61"/>
        <v>1346.0728000000001</v>
      </c>
    </row>
    <row r="365" spans="1:16" s="868" customFormat="1" ht="12.75">
      <c r="A365" s="868" t="s">
        <v>819</v>
      </c>
      <c r="B365" s="838"/>
      <c r="C365" s="869"/>
      <c r="D365" s="530"/>
      <c r="E365" s="530"/>
      <c r="F365" s="870"/>
      <c r="G365" s="871"/>
      <c r="H365" s="871"/>
      <c r="I365" s="872"/>
      <c r="J365" s="872"/>
      <c r="K365" s="872" t="s">
        <v>1152</v>
      </c>
      <c r="L365" s="872">
        <v>1198</v>
      </c>
      <c r="M365" s="873"/>
      <c r="O365" s="872">
        <f t="shared" si="60"/>
        <v>1269.88</v>
      </c>
      <c r="P365" s="872">
        <f t="shared" si="61"/>
        <v>1346.0728000000001</v>
      </c>
    </row>
    <row r="366" spans="1:16" s="868" customFormat="1" ht="12.75">
      <c r="A366" s="868" t="s">
        <v>1404</v>
      </c>
      <c r="B366" s="838"/>
      <c r="C366" s="869"/>
      <c r="D366" s="530"/>
      <c r="E366" s="530"/>
      <c r="F366" s="870"/>
      <c r="G366" s="871"/>
      <c r="H366" s="871"/>
      <c r="I366" s="872"/>
      <c r="J366" s="872"/>
      <c r="K366" s="872" t="s">
        <v>1152</v>
      </c>
      <c r="L366" s="872">
        <v>1089</v>
      </c>
      <c r="M366" s="873"/>
      <c r="O366" s="872">
        <f t="shared" si="60"/>
        <v>1154.34</v>
      </c>
      <c r="P366" s="872">
        <f t="shared" si="61"/>
        <v>1223.6003999999998</v>
      </c>
    </row>
    <row r="367" spans="1:16" s="22" customFormat="1" ht="12.75">
      <c r="A367" s="22" t="s">
        <v>275</v>
      </c>
      <c r="B367" s="69">
        <v>519.2812800000002</v>
      </c>
      <c r="C367" s="82">
        <f aca="true" t="shared" si="62" ref="C367:E368">B367*1.1</f>
        <v>571.2094080000002</v>
      </c>
      <c r="D367" s="175">
        <f t="shared" si="62"/>
        <v>628.3303488000003</v>
      </c>
      <c r="E367" s="175">
        <f t="shared" si="62"/>
        <v>691.1633836800004</v>
      </c>
      <c r="F367" s="84">
        <f>(E367-D367)/D367</f>
        <v>0.10000000000000016</v>
      </c>
      <c r="G367" s="841">
        <v>813.4993025913606</v>
      </c>
      <c r="H367" s="841">
        <f>G367*1.06</f>
        <v>862.3092607468423</v>
      </c>
      <c r="I367" s="831">
        <f>H367*1.06</f>
        <v>914.0478163916529</v>
      </c>
      <c r="J367" s="831">
        <f>(I367*$M$12)+I367</f>
        <v>968.8906853751521</v>
      </c>
      <c r="K367" s="831">
        <f>(J367*$M$12)+J367</f>
        <v>1027.0241264976612</v>
      </c>
      <c r="L367" s="831"/>
      <c r="M367" s="953"/>
      <c r="O367" s="831"/>
      <c r="P367" s="831"/>
    </row>
    <row r="368" spans="1:16" s="868" customFormat="1" ht="12.75">
      <c r="A368" s="868" t="s">
        <v>822</v>
      </c>
      <c r="B368" s="838">
        <v>519.2812800000002</v>
      </c>
      <c r="C368" s="869">
        <f t="shared" si="62"/>
        <v>571.2094080000002</v>
      </c>
      <c r="D368" s="530">
        <f t="shared" si="62"/>
        <v>628.3303488000003</v>
      </c>
      <c r="E368" s="530">
        <f t="shared" si="62"/>
        <v>691.1633836800004</v>
      </c>
      <c r="F368" s="870">
        <f>(E368-D368)/D368</f>
        <v>0.10000000000000016</v>
      </c>
      <c r="G368" s="871">
        <v>813.4993025913606</v>
      </c>
      <c r="H368" s="871">
        <f>G368*1.06</f>
        <v>862.3092607468423</v>
      </c>
      <c r="I368" s="872">
        <f>H368*1.06</f>
        <v>914.0478163916529</v>
      </c>
      <c r="J368" s="872"/>
      <c r="K368" s="872" t="s">
        <v>1152</v>
      </c>
      <c r="L368" s="872">
        <v>1089</v>
      </c>
      <c r="M368" s="873"/>
      <c r="O368" s="872">
        <f aca="true" t="shared" si="63" ref="O368:O374">(L368*$O$7)+L368</f>
        <v>1154.34</v>
      </c>
      <c r="P368" s="872">
        <f aca="true" t="shared" si="64" ref="P368:P374">(O368*$P$7)+O368</f>
        <v>1223.6003999999998</v>
      </c>
    </row>
    <row r="369" spans="1:16" s="868" customFormat="1" ht="12.75">
      <c r="A369" s="868" t="s">
        <v>823</v>
      </c>
      <c r="B369" s="838"/>
      <c r="C369" s="869"/>
      <c r="D369" s="530"/>
      <c r="E369" s="530"/>
      <c r="F369" s="870"/>
      <c r="G369" s="871"/>
      <c r="H369" s="871"/>
      <c r="I369" s="872"/>
      <c r="J369" s="872"/>
      <c r="K369" s="872" t="s">
        <v>1152</v>
      </c>
      <c r="L369" s="872">
        <v>1089</v>
      </c>
      <c r="M369" s="873"/>
      <c r="O369" s="872">
        <f t="shared" si="63"/>
        <v>1154.34</v>
      </c>
      <c r="P369" s="872">
        <f t="shared" si="64"/>
        <v>1223.6003999999998</v>
      </c>
    </row>
    <row r="370" spans="1:16" s="868" customFormat="1" ht="12.75">
      <c r="A370" s="868" t="s">
        <v>817</v>
      </c>
      <c r="B370" s="838"/>
      <c r="C370" s="869"/>
      <c r="D370" s="530"/>
      <c r="E370" s="530"/>
      <c r="F370" s="870"/>
      <c r="G370" s="871"/>
      <c r="H370" s="871"/>
      <c r="I370" s="872"/>
      <c r="J370" s="872"/>
      <c r="K370" s="872" t="s">
        <v>1152</v>
      </c>
      <c r="L370" s="872">
        <v>1198</v>
      </c>
      <c r="M370" s="873"/>
      <c r="O370" s="872">
        <f t="shared" si="63"/>
        <v>1269.88</v>
      </c>
      <c r="P370" s="872">
        <f t="shared" si="64"/>
        <v>1346.0728000000001</v>
      </c>
    </row>
    <row r="371" spans="1:16" s="868" customFormat="1" ht="12.75">
      <c r="A371" s="868" t="s">
        <v>818</v>
      </c>
      <c r="B371" s="838"/>
      <c r="C371" s="869"/>
      <c r="D371" s="530"/>
      <c r="E371" s="530"/>
      <c r="F371" s="870"/>
      <c r="G371" s="871"/>
      <c r="H371" s="871"/>
      <c r="I371" s="872"/>
      <c r="J371" s="872"/>
      <c r="K371" s="872" t="s">
        <v>1152</v>
      </c>
      <c r="L371" s="872">
        <v>1198</v>
      </c>
      <c r="M371" s="873"/>
      <c r="O371" s="872">
        <f t="shared" si="63"/>
        <v>1269.88</v>
      </c>
      <c r="P371" s="872">
        <f t="shared" si="64"/>
        <v>1346.0728000000001</v>
      </c>
    </row>
    <row r="372" spans="1:16" s="868" customFormat="1" ht="12.75">
      <c r="A372" s="868" t="s">
        <v>820</v>
      </c>
      <c r="B372" s="838"/>
      <c r="C372" s="869"/>
      <c r="D372" s="530"/>
      <c r="E372" s="530"/>
      <c r="F372" s="870"/>
      <c r="G372" s="871"/>
      <c r="H372" s="871"/>
      <c r="I372" s="872"/>
      <c r="J372" s="872"/>
      <c r="K372" s="872" t="s">
        <v>1152</v>
      </c>
      <c r="L372" s="872">
        <v>1198</v>
      </c>
      <c r="M372" s="873"/>
      <c r="O372" s="872">
        <f t="shared" si="63"/>
        <v>1269.88</v>
      </c>
      <c r="P372" s="872">
        <f t="shared" si="64"/>
        <v>1346.0728000000001</v>
      </c>
    </row>
    <row r="373" spans="1:16" s="868" customFormat="1" ht="12.75">
      <c r="A373" s="868" t="s">
        <v>819</v>
      </c>
      <c r="B373" s="838"/>
      <c r="C373" s="869"/>
      <c r="D373" s="530"/>
      <c r="E373" s="530"/>
      <c r="F373" s="870"/>
      <c r="G373" s="871"/>
      <c r="H373" s="871"/>
      <c r="I373" s="872"/>
      <c r="J373" s="872"/>
      <c r="K373" s="872" t="s">
        <v>1152</v>
      </c>
      <c r="L373" s="872">
        <v>1198</v>
      </c>
      <c r="M373" s="873"/>
      <c r="O373" s="872">
        <f t="shared" si="63"/>
        <v>1269.88</v>
      </c>
      <c r="P373" s="872">
        <f t="shared" si="64"/>
        <v>1346.0728000000001</v>
      </c>
    </row>
    <row r="374" spans="1:16" s="868" customFormat="1" ht="12.75">
      <c r="A374" s="868" t="s">
        <v>1404</v>
      </c>
      <c r="B374" s="838"/>
      <c r="C374" s="869"/>
      <c r="D374" s="530"/>
      <c r="E374" s="530"/>
      <c r="F374" s="870"/>
      <c r="G374" s="871"/>
      <c r="H374" s="871"/>
      <c r="I374" s="872"/>
      <c r="J374" s="872"/>
      <c r="K374" s="872" t="s">
        <v>1152</v>
      </c>
      <c r="L374" s="872">
        <v>1089</v>
      </c>
      <c r="M374" s="873"/>
      <c r="O374" s="872">
        <f t="shared" si="63"/>
        <v>1154.34</v>
      </c>
      <c r="P374" s="872">
        <f t="shared" si="64"/>
        <v>1223.6003999999998</v>
      </c>
    </row>
    <row r="375" spans="1:16" s="22" customFormat="1" ht="12.75">
      <c r="A375" s="22" t="s">
        <v>276</v>
      </c>
      <c r="B375" s="69">
        <v>519.2812800000002</v>
      </c>
      <c r="C375" s="82">
        <f>B375*1.1</f>
        <v>571.2094080000002</v>
      </c>
      <c r="D375" s="175">
        <f>C375*1.1</f>
        <v>628.3303488000003</v>
      </c>
      <c r="E375" s="175">
        <f>D375*1.1</f>
        <v>691.1633836800004</v>
      </c>
      <c r="F375" s="84">
        <f>(E375-D375)/D375</f>
        <v>0.10000000000000016</v>
      </c>
      <c r="G375" s="841">
        <v>813.4993025913606</v>
      </c>
      <c r="H375" s="841">
        <f>G375*1.06</f>
        <v>862.3092607468423</v>
      </c>
      <c r="I375" s="831">
        <f>H375*1.06</f>
        <v>914.0478163916529</v>
      </c>
      <c r="J375" s="831">
        <f>(I375*$M$12)+I375</f>
        <v>968.8906853751521</v>
      </c>
      <c r="K375" s="831">
        <f>(J375*$M$12)+J375</f>
        <v>1027.0241264976612</v>
      </c>
      <c r="L375" s="831"/>
      <c r="M375" s="953"/>
      <c r="O375" s="831"/>
      <c r="P375" s="831"/>
    </row>
    <row r="376" spans="1:16" s="868" customFormat="1" ht="12.75">
      <c r="A376" s="868" t="s">
        <v>822</v>
      </c>
      <c r="B376" s="838"/>
      <c r="C376" s="869"/>
      <c r="D376" s="530"/>
      <c r="E376" s="530"/>
      <c r="F376" s="870"/>
      <c r="G376" s="871"/>
      <c r="H376" s="871"/>
      <c r="I376" s="872"/>
      <c r="J376" s="872"/>
      <c r="K376" s="872" t="s">
        <v>1152</v>
      </c>
      <c r="L376" s="872">
        <v>1089</v>
      </c>
      <c r="M376" s="873"/>
      <c r="O376" s="872">
        <f aca="true" t="shared" si="65" ref="O376:O382">(L376*$O$7)+L376</f>
        <v>1154.34</v>
      </c>
      <c r="P376" s="872">
        <f aca="true" t="shared" si="66" ref="P376:P382">(O376*$P$7)+O376</f>
        <v>1223.6003999999998</v>
      </c>
    </row>
    <row r="377" spans="1:16" s="868" customFormat="1" ht="12.75">
      <c r="A377" s="868" t="s">
        <v>823</v>
      </c>
      <c r="B377" s="838"/>
      <c r="C377" s="869"/>
      <c r="D377" s="530"/>
      <c r="E377" s="530"/>
      <c r="F377" s="870"/>
      <c r="G377" s="871"/>
      <c r="H377" s="871"/>
      <c r="I377" s="872"/>
      <c r="J377" s="872"/>
      <c r="K377" s="872" t="s">
        <v>1152</v>
      </c>
      <c r="L377" s="872">
        <v>1089</v>
      </c>
      <c r="M377" s="873"/>
      <c r="O377" s="872">
        <f t="shared" si="65"/>
        <v>1154.34</v>
      </c>
      <c r="P377" s="872">
        <f t="shared" si="66"/>
        <v>1223.6003999999998</v>
      </c>
    </row>
    <row r="378" spans="1:16" s="868" customFormat="1" ht="12.75">
      <c r="A378" s="868" t="s">
        <v>817</v>
      </c>
      <c r="B378" s="838"/>
      <c r="C378" s="869"/>
      <c r="D378" s="530"/>
      <c r="E378" s="530"/>
      <c r="F378" s="870"/>
      <c r="G378" s="871"/>
      <c r="H378" s="871"/>
      <c r="I378" s="872"/>
      <c r="J378" s="872"/>
      <c r="K378" s="872" t="s">
        <v>1152</v>
      </c>
      <c r="L378" s="872">
        <v>1198</v>
      </c>
      <c r="M378" s="873"/>
      <c r="O378" s="872">
        <f t="shared" si="65"/>
        <v>1269.88</v>
      </c>
      <c r="P378" s="872">
        <f t="shared" si="66"/>
        <v>1346.0728000000001</v>
      </c>
    </row>
    <row r="379" spans="1:16" s="868" customFormat="1" ht="12.75">
      <c r="A379" s="868" t="s">
        <v>818</v>
      </c>
      <c r="B379" s="838"/>
      <c r="C379" s="869"/>
      <c r="D379" s="530"/>
      <c r="E379" s="530"/>
      <c r="F379" s="870"/>
      <c r="G379" s="871"/>
      <c r="H379" s="871"/>
      <c r="I379" s="872"/>
      <c r="J379" s="872"/>
      <c r="K379" s="872" t="s">
        <v>1152</v>
      </c>
      <c r="L379" s="872">
        <v>1198</v>
      </c>
      <c r="M379" s="873"/>
      <c r="O379" s="872">
        <f t="shared" si="65"/>
        <v>1269.88</v>
      </c>
      <c r="P379" s="872">
        <f t="shared" si="66"/>
        <v>1346.0728000000001</v>
      </c>
    </row>
    <row r="380" spans="1:16" s="868" customFormat="1" ht="12.75">
      <c r="A380" s="868" t="s">
        <v>820</v>
      </c>
      <c r="B380" s="838"/>
      <c r="C380" s="869"/>
      <c r="D380" s="530"/>
      <c r="E380" s="530"/>
      <c r="F380" s="870"/>
      <c r="G380" s="871"/>
      <c r="H380" s="871"/>
      <c r="I380" s="872"/>
      <c r="J380" s="872"/>
      <c r="K380" s="872" t="s">
        <v>1152</v>
      </c>
      <c r="L380" s="872">
        <v>1198</v>
      </c>
      <c r="M380" s="873"/>
      <c r="O380" s="872">
        <f t="shared" si="65"/>
        <v>1269.88</v>
      </c>
      <c r="P380" s="872">
        <f t="shared" si="66"/>
        <v>1346.0728000000001</v>
      </c>
    </row>
    <row r="381" spans="1:16" s="868" customFormat="1" ht="12.75">
      <c r="A381" s="868" t="s">
        <v>819</v>
      </c>
      <c r="B381" s="838"/>
      <c r="C381" s="869"/>
      <c r="D381" s="530"/>
      <c r="E381" s="530"/>
      <c r="F381" s="870"/>
      <c r="G381" s="871"/>
      <c r="H381" s="871"/>
      <c r="I381" s="872"/>
      <c r="J381" s="872"/>
      <c r="K381" s="872" t="s">
        <v>1152</v>
      </c>
      <c r="L381" s="872">
        <v>1198</v>
      </c>
      <c r="M381" s="873"/>
      <c r="O381" s="872">
        <f t="shared" si="65"/>
        <v>1269.88</v>
      </c>
      <c r="P381" s="872">
        <f t="shared" si="66"/>
        <v>1346.0728000000001</v>
      </c>
    </row>
    <row r="382" spans="1:16" s="868" customFormat="1" ht="12.75">
      <c r="A382" s="868" t="s">
        <v>1404</v>
      </c>
      <c r="B382" s="838"/>
      <c r="C382" s="869"/>
      <c r="D382" s="530"/>
      <c r="E382" s="530"/>
      <c r="F382" s="870"/>
      <c r="G382" s="871"/>
      <c r="H382" s="871"/>
      <c r="I382" s="872"/>
      <c r="J382" s="872"/>
      <c r="K382" s="872" t="s">
        <v>1152</v>
      </c>
      <c r="L382" s="872">
        <v>1089</v>
      </c>
      <c r="M382" s="873"/>
      <c r="O382" s="872">
        <f t="shared" si="65"/>
        <v>1154.34</v>
      </c>
      <c r="P382" s="872">
        <f t="shared" si="66"/>
        <v>1223.6003999999998</v>
      </c>
    </row>
    <row r="383" spans="1:16" s="22" customFormat="1" ht="12.75">
      <c r="A383" s="22" t="s">
        <v>277</v>
      </c>
      <c r="B383" s="69">
        <v>519.2812800000002</v>
      </c>
      <c r="C383" s="82">
        <f>B383*1.1</f>
        <v>571.2094080000002</v>
      </c>
      <c r="D383" s="175">
        <f>C383*1.1</f>
        <v>628.3303488000003</v>
      </c>
      <c r="E383" s="175">
        <f>D383*1.1</f>
        <v>691.1633836800004</v>
      </c>
      <c r="F383" s="84">
        <f>(E383-D383)/D383</f>
        <v>0.10000000000000016</v>
      </c>
      <c r="G383" s="841">
        <v>813.4993025913606</v>
      </c>
      <c r="H383" s="841">
        <f>G383*1.06</f>
        <v>862.3092607468423</v>
      </c>
      <c r="I383" s="831">
        <f>H383*1.06</f>
        <v>914.0478163916529</v>
      </c>
      <c r="J383" s="831">
        <f>(I383*$M$12)+I383</f>
        <v>968.8906853751521</v>
      </c>
      <c r="K383" s="831">
        <f>(J383*$M$12)+J383</f>
        <v>1027.0241264976612</v>
      </c>
      <c r="L383" s="831"/>
      <c r="M383" s="953"/>
      <c r="O383" s="831"/>
      <c r="P383" s="831"/>
    </row>
    <row r="384" spans="1:16" s="868" customFormat="1" ht="12.75">
      <c r="A384" s="868" t="s">
        <v>822</v>
      </c>
      <c r="B384" s="838"/>
      <c r="C384" s="869"/>
      <c r="D384" s="530"/>
      <c r="E384" s="530"/>
      <c r="F384" s="870"/>
      <c r="G384" s="871"/>
      <c r="H384" s="871"/>
      <c r="I384" s="872"/>
      <c r="J384" s="872"/>
      <c r="K384" s="872" t="s">
        <v>1152</v>
      </c>
      <c r="L384" s="872">
        <v>1089</v>
      </c>
      <c r="M384" s="873"/>
      <c r="O384" s="872">
        <f aca="true" t="shared" si="67" ref="O384:O390">(L384*$O$7)+L384</f>
        <v>1154.34</v>
      </c>
      <c r="P384" s="872">
        <f aca="true" t="shared" si="68" ref="P384:P390">(O384*$P$7)+O384</f>
        <v>1223.6003999999998</v>
      </c>
    </row>
    <row r="385" spans="1:16" s="868" customFormat="1" ht="12.75">
      <c r="A385" s="868" t="s">
        <v>823</v>
      </c>
      <c r="B385" s="838"/>
      <c r="C385" s="869"/>
      <c r="D385" s="530"/>
      <c r="E385" s="530"/>
      <c r="F385" s="870"/>
      <c r="G385" s="871"/>
      <c r="H385" s="871"/>
      <c r="I385" s="872"/>
      <c r="J385" s="872"/>
      <c r="K385" s="872" t="s">
        <v>1152</v>
      </c>
      <c r="L385" s="872">
        <v>1089</v>
      </c>
      <c r="M385" s="873"/>
      <c r="O385" s="872">
        <f t="shared" si="67"/>
        <v>1154.34</v>
      </c>
      <c r="P385" s="872">
        <f t="shared" si="68"/>
        <v>1223.6003999999998</v>
      </c>
    </row>
    <row r="386" spans="1:16" s="868" customFormat="1" ht="12.75">
      <c r="A386" s="868" t="s">
        <v>817</v>
      </c>
      <c r="B386" s="838"/>
      <c r="C386" s="869"/>
      <c r="D386" s="530"/>
      <c r="E386" s="530"/>
      <c r="F386" s="870"/>
      <c r="G386" s="871"/>
      <c r="H386" s="871"/>
      <c r="I386" s="872"/>
      <c r="J386" s="872"/>
      <c r="K386" s="872" t="s">
        <v>1152</v>
      </c>
      <c r="L386" s="872">
        <v>1198</v>
      </c>
      <c r="M386" s="873"/>
      <c r="O386" s="872">
        <f t="shared" si="67"/>
        <v>1269.88</v>
      </c>
      <c r="P386" s="872">
        <f t="shared" si="68"/>
        <v>1346.0728000000001</v>
      </c>
    </row>
    <row r="387" spans="1:16" s="868" customFormat="1" ht="12.75">
      <c r="A387" s="868" t="s">
        <v>818</v>
      </c>
      <c r="B387" s="838"/>
      <c r="C387" s="869"/>
      <c r="D387" s="530"/>
      <c r="E387" s="530"/>
      <c r="F387" s="870"/>
      <c r="G387" s="871"/>
      <c r="H387" s="871"/>
      <c r="I387" s="872"/>
      <c r="J387" s="872"/>
      <c r="K387" s="872" t="s">
        <v>1152</v>
      </c>
      <c r="L387" s="872">
        <v>1198</v>
      </c>
      <c r="M387" s="873"/>
      <c r="O387" s="872">
        <f t="shared" si="67"/>
        <v>1269.88</v>
      </c>
      <c r="P387" s="872">
        <f t="shared" si="68"/>
        <v>1346.0728000000001</v>
      </c>
    </row>
    <row r="388" spans="1:16" s="868" customFormat="1" ht="12.75">
      <c r="A388" s="868" t="s">
        <v>820</v>
      </c>
      <c r="B388" s="838"/>
      <c r="C388" s="869"/>
      <c r="D388" s="530"/>
      <c r="E388" s="530"/>
      <c r="F388" s="870"/>
      <c r="G388" s="871"/>
      <c r="H388" s="871"/>
      <c r="I388" s="872"/>
      <c r="J388" s="872"/>
      <c r="K388" s="872" t="s">
        <v>1152</v>
      </c>
      <c r="L388" s="872">
        <v>1198</v>
      </c>
      <c r="M388" s="873"/>
      <c r="O388" s="872">
        <f t="shared" si="67"/>
        <v>1269.88</v>
      </c>
      <c r="P388" s="872">
        <f t="shared" si="68"/>
        <v>1346.0728000000001</v>
      </c>
    </row>
    <row r="389" spans="1:16" s="868" customFormat="1" ht="12.75">
      <c r="A389" s="868" t="s">
        <v>819</v>
      </c>
      <c r="B389" s="838"/>
      <c r="C389" s="869"/>
      <c r="D389" s="530"/>
      <c r="E389" s="530"/>
      <c r="F389" s="870"/>
      <c r="G389" s="871"/>
      <c r="H389" s="871"/>
      <c r="I389" s="872"/>
      <c r="J389" s="872"/>
      <c r="K389" s="872" t="s">
        <v>1152</v>
      </c>
      <c r="L389" s="872">
        <v>1198</v>
      </c>
      <c r="M389" s="873"/>
      <c r="O389" s="872">
        <f t="shared" si="67"/>
        <v>1269.88</v>
      </c>
      <c r="P389" s="872">
        <f t="shared" si="68"/>
        <v>1346.0728000000001</v>
      </c>
    </row>
    <row r="390" spans="1:16" s="868" customFormat="1" ht="12.75">
      <c r="A390" s="868" t="s">
        <v>1404</v>
      </c>
      <c r="B390" s="838"/>
      <c r="C390" s="869"/>
      <c r="D390" s="530"/>
      <c r="E390" s="530"/>
      <c r="F390" s="870"/>
      <c r="G390" s="871"/>
      <c r="H390" s="871"/>
      <c r="I390" s="872"/>
      <c r="J390" s="872"/>
      <c r="K390" s="872" t="s">
        <v>1152</v>
      </c>
      <c r="L390" s="872">
        <v>1089</v>
      </c>
      <c r="M390" s="873"/>
      <c r="O390" s="872">
        <f t="shared" si="67"/>
        <v>1154.34</v>
      </c>
      <c r="P390" s="872">
        <f t="shared" si="68"/>
        <v>1223.6003999999998</v>
      </c>
    </row>
    <row r="391" spans="1:16" s="22" customFormat="1" ht="12.75">
      <c r="A391" s="22" t="s">
        <v>469</v>
      </c>
      <c r="B391" s="69">
        <v>400</v>
      </c>
      <c r="C391" s="82">
        <f>B391*1.1</f>
        <v>440.00000000000006</v>
      </c>
      <c r="D391" s="175">
        <f>C391*1.1</f>
        <v>484.0000000000001</v>
      </c>
      <c r="E391" s="175">
        <f>D391*1.1</f>
        <v>532.4000000000002</v>
      </c>
      <c r="F391" s="84">
        <f>(E391-D391)/D391</f>
        <v>0.10000000000000016</v>
      </c>
      <c r="G391" s="841">
        <v>626.6348000000004</v>
      </c>
      <c r="H391" s="841">
        <f>G391*1.06</f>
        <v>664.2328880000005</v>
      </c>
      <c r="I391" s="831">
        <f>H391*1.06</f>
        <v>704.0868612800006</v>
      </c>
      <c r="J391" s="831">
        <f>(I391*$M$12)+I391</f>
        <v>746.3320729568006</v>
      </c>
      <c r="K391" s="831">
        <f>(J391*$M$12)+J391</f>
        <v>791.1119973342087</v>
      </c>
      <c r="L391" s="831"/>
      <c r="M391" s="953"/>
      <c r="O391" s="831"/>
      <c r="P391" s="831"/>
    </row>
    <row r="392" spans="1:16" s="868" customFormat="1" ht="12.75">
      <c r="A392" s="868" t="s">
        <v>822</v>
      </c>
      <c r="B392" s="838"/>
      <c r="C392" s="869"/>
      <c r="D392" s="530"/>
      <c r="E392" s="530"/>
      <c r="F392" s="870"/>
      <c r="G392" s="871"/>
      <c r="H392" s="871"/>
      <c r="I392" s="872"/>
      <c r="J392" s="872"/>
      <c r="K392" s="872" t="s">
        <v>1152</v>
      </c>
      <c r="L392" s="872">
        <v>1089</v>
      </c>
      <c r="M392" s="873"/>
      <c r="O392" s="872">
        <f aca="true" t="shared" si="69" ref="O392:O398">(L392*$O$7)+L392</f>
        <v>1154.34</v>
      </c>
      <c r="P392" s="872">
        <f aca="true" t="shared" si="70" ref="P392:P398">(O392*$P$7)+O392</f>
        <v>1223.6003999999998</v>
      </c>
    </row>
    <row r="393" spans="1:16" s="868" customFormat="1" ht="12.75">
      <c r="A393" s="868" t="s">
        <v>823</v>
      </c>
      <c r="B393" s="838"/>
      <c r="C393" s="869"/>
      <c r="D393" s="530"/>
      <c r="E393" s="530"/>
      <c r="F393" s="870"/>
      <c r="G393" s="871"/>
      <c r="H393" s="871"/>
      <c r="I393" s="872"/>
      <c r="J393" s="872"/>
      <c r="K393" s="872" t="s">
        <v>1152</v>
      </c>
      <c r="L393" s="872">
        <v>1089</v>
      </c>
      <c r="M393" s="873"/>
      <c r="O393" s="872">
        <f t="shared" si="69"/>
        <v>1154.34</v>
      </c>
      <c r="P393" s="872">
        <f t="shared" si="70"/>
        <v>1223.6003999999998</v>
      </c>
    </row>
    <row r="394" spans="1:16" s="868" customFormat="1" ht="12.75">
      <c r="A394" s="868" t="s">
        <v>817</v>
      </c>
      <c r="B394" s="838"/>
      <c r="C394" s="869"/>
      <c r="D394" s="530"/>
      <c r="E394" s="530"/>
      <c r="F394" s="870"/>
      <c r="G394" s="871"/>
      <c r="H394" s="871"/>
      <c r="I394" s="872"/>
      <c r="J394" s="872"/>
      <c r="K394" s="872" t="s">
        <v>1152</v>
      </c>
      <c r="L394" s="872">
        <v>1198</v>
      </c>
      <c r="M394" s="873"/>
      <c r="O394" s="872">
        <f t="shared" si="69"/>
        <v>1269.88</v>
      </c>
      <c r="P394" s="872">
        <f t="shared" si="70"/>
        <v>1346.0728000000001</v>
      </c>
    </row>
    <row r="395" spans="1:16" s="868" customFormat="1" ht="12.75">
      <c r="A395" s="868" t="s">
        <v>818</v>
      </c>
      <c r="B395" s="838"/>
      <c r="C395" s="869"/>
      <c r="D395" s="530"/>
      <c r="E395" s="530"/>
      <c r="F395" s="870"/>
      <c r="G395" s="871"/>
      <c r="H395" s="871"/>
      <c r="I395" s="872"/>
      <c r="J395" s="872"/>
      <c r="K395" s="872" t="s">
        <v>1152</v>
      </c>
      <c r="L395" s="872">
        <v>1198</v>
      </c>
      <c r="M395" s="873"/>
      <c r="O395" s="872">
        <f t="shared" si="69"/>
        <v>1269.88</v>
      </c>
      <c r="P395" s="872">
        <f t="shared" si="70"/>
        <v>1346.0728000000001</v>
      </c>
    </row>
    <row r="396" spans="1:16" s="868" customFormat="1" ht="12.75">
      <c r="A396" s="868" t="s">
        <v>820</v>
      </c>
      <c r="B396" s="838"/>
      <c r="C396" s="869"/>
      <c r="D396" s="530"/>
      <c r="E396" s="530"/>
      <c r="F396" s="870"/>
      <c r="G396" s="871"/>
      <c r="H396" s="871"/>
      <c r="I396" s="872"/>
      <c r="J396" s="872"/>
      <c r="K396" s="872" t="s">
        <v>1152</v>
      </c>
      <c r="L396" s="872">
        <v>1198</v>
      </c>
      <c r="M396" s="873"/>
      <c r="O396" s="872">
        <f t="shared" si="69"/>
        <v>1269.88</v>
      </c>
      <c r="P396" s="872">
        <f t="shared" si="70"/>
        <v>1346.0728000000001</v>
      </c>
    </row>
    <row r="397" spans="1:16" s="868" customFormat="1" ht="12.75">
      <c r="A397" s="868" t="s">
        <v>819</v>
      </c>
      <c r="B397" s="838"/>
      <c r="C397" s="869"/>
      <c r="D397" s="530"/>
      <c r="E397" s="530"/>
      <c r="F397" s="870"/>
      <c r="G397" s="871"/>
      <c r="H397" s="871"/>
      <c r="I397" s="872"/>
      <c r="J397" s="872"/>
      <c r="K397" s="872" t="s">
        <v>1152</v>
      </c>
      <c r="L397" s="872">
        <v>1198</v>
      </c>
      <c r="M397" s="873"/>
      <c r="O397" s="872">
        <f t="shared" si="69"/>
        <v>1269.88</v>
      </c>
      <c r="P397" s="872">
        <f t="shared" si="70"/>
        <v>1346.0728000000001</v>
      </c>
    </row>
    <row r="398" spans="1:16" s="868" customFormat="1" ht="12.75">
      <c r="A398" s="868" t="s">
        <v>1404</v>
      </c>
      <c r="B398" s="838"/>
      <c r="C398" s="869"/>
      <c r="D398" s="530"/>
      <c r="E398" s="530"/>
      <c r="F398" s="870"/>
      <c r="G398" s="871"/>
      <c r="H398" s="871"/>
      <c r="I398" s="872"/>
      <c r="J398" s="872"/>
      <c r="K398" s="872" t="s">
        <v>1152</v>
      </c>
      <c r="L398" s="872">
        <v>1089</v>
      </c>
      <c r="M398" s="873"/>
      <c r="O398" s="872">
        <f t="shared" si="69"/>
        <v>1154.34</v>
      </c>
      <c r="P398" s="872">
        <f t="shared" si="70"/>
        <v>1223.6003999999998</v>
      </c>
    </row>
    <row r="399" spans="1:16" ht="13.5" hidden="1">
      <c r="A399" s="20" t="s">
        <v>470</v>
      </c>
      <c r="B399" s="21">
        <v>400</v>
      </c>
      <c r="C399" s="65">
        <f aca="true" t="shared" si="71" ref="C399:E400">B399*1.1</f>
        <v>440.00000000000006</v>
      </c>
      <c r="D399" s="66">
        <f t="shared" si="71"/>
        <v>484.0000000000001</v>
      </c>
      <c r="E399" s="66">
        <f t="shared" si="71"/>
        <v>532.4000000000002</v>
      </c>
      <c r="F399" s="43">
        <f>(E399-D399)/D399</f>
        <v>0.10000000000000016</v>
      </c>
      <c r="G399" s="112">
        <v>626.6348000000004</v>
      </c>
      <c r="H399" s="112">
        <f>G399*1.06</f>
        <v>664.2328880000005</v>
      </c>
      <c r="I399" s="271">
        <f>H399*1.06</f>
        <v>704.0868612800006</v>
      </c>
      <c r="J399" s="271">
        <f>(I399*$M$12)+I399</f>
        <v>746.3320729568006</v>
      </c>
      <c r="K399" s="271">
        <f>(J399*$M$12)+J399</f>
        <v>791.1119973342087</v>
      </c>
      <c r="L399" s="271">
        <f>(K399*M399)+K399</f>
        <v>838.5787171742612</v>
      </c>
      <c r="M399" s="832">
        <f>$M$7</f>
        <v>0.06</v>
      </c>
      <c r="O399" s="271">
        <f>(L399*$O$7)+L399</f>
        <v>888.8934402047169</v>
      </c>
      <c r="P399" s="271">
        <f>(O399*$P$7)+O399</f>
        <v>942.2270466169998</v>
      </c>
    </row>
    <row r="400" spans="1:16" s="22" customFormat="1" ht="12.75">
      <c r="A400" s="22" t="s">
        <v>471</v>
      </c>
      <c r="B400" s="69">
        <v>400</v>
      </c>
      <c r="C400" s="82">
        <f t="shared" si="71"/>
        <v>440.00000000000006</v>
      </c>
      <c r="D400" s="175">
        <f t="shared" si="71"/>
        <v>484.0000000000001</v>
      </c>
      <c r="E400" s="175">
        <f t="shared" si="71"/>
        <v>532.4000000000002</v>
      </c>
      <c r="F400" s="84">
        <f>(E400-D400)/D400</f>
        <v>0.10000000000000016</v>
      </c>
      <c r="G400" s="841">
        <v>626.6348000000004</v>
      </c>
      <c r="H400" s="841">
        <f>G400*1.06</f>
        <v>664.2328880000005</v>
      </c>
      <c r="I400" s="831">
        <f>H400*1.06</f>
        <v>704.0868612800006</v>
      </c>
      <c r="J400" s="831">
        <f>(I400*$M$12)+I400</f>
        <v>746.3320729568006</v>
      </c>
      <c r="K400" s="831">
        <f>(J400*$M$12)+J400</f>
        <v>791.1119973342087</v>
      </c>
      <c r="L400" s="831"/>
      <c r="M400" s="953"/>
      <c r="O400" s="831"/>
      <c r="P400" s="831"/>
    </row>
    <row r="401" spans="1:16" s="868" customFormat="1" ht="12.75">
      <c r="A401" s="868" t="s">
        <v>822</v>
      </c>
      <c r="B401" s="838"/>
      <c r="C401" s="869"/>
      <c r="D401" s="530"/>
      <c r="E401" s="530"/>
      <c r="F401" s="870"/>
      <c r="G401" s="871"/>
      <c r="H401" s="871"/>
      <c r="I401" s="872"/>
      <c r="J401" s="872"/>
      <c r="K401" s="872" t="s">
        <v>1152</v>
      </c>
      <c r="L401" s="872">
        <v>839</v>
      </c>
      <c r="M401" s="873"/>
      <c r="O401" s="872">
        <f aca="true" t="shared" si="72" ref="O401:O407">(L401*$O$7)+L401</f>
        <v>889.34</v>
      </c>
      <c r="P401" s="872">
        <f aca="true" t="shared" si="73" ref="P401:P407">(O401*$P$7)+O401</f>
        <v>942.7004000000001</v>
      </c>
    </row>
    <row r="402" spans="1:16" s="868" customFormat="1" ht="12.75">
      <c r="A402" s="868" t="s">
        <v>823</v>
      </c>
      <c r="B402" s="838"/>
      <c r="C402" s="869"/>
      <c r="D402" s="530"/>
      <c r="E402" s="530"/>
      <c r="F402" s="870"/>
      <c r="G402" s="871"/>
      <c r="H402" s="871"/>
      <c r="I402" s="872"/>
      <c r="J402" s="872"/>
      <c r="K402" s="872" t="s">
        <v>1152</v>
      </c>
      <c r="L402" s="872">
        <v>839</v>
      </c>
      <c r="M402" s="873"/>
      <c r="O402" s="872">
        <f t="shared" si="72"/>
        <v>889.34</v>
      </c>
      <c r="P402" s="872">
        <f t="shared" si="73"/>
        <v>942.7004000000001</v>
      </c>
    </row>
    <row r="403" spans="1:16" s="868" customFormat="1" ht="12.75">
      <c r="A403" s="868" t="s">
        <v>817</v>
      </c>
      <c r="B403" s="838"/>
      <c r="C403" s="869"/>
      <c r="D403" s="530"/>
      <c r="E403" s="530"/>
      <c r="F403" s="870"/>
      <c r="G403" s="871"/>
      <c r="H403" s="871"/>
      <c r="I403" s="872"/>
      <c r="J403" s="872"/>
      <c r="K403" s="872" t="s">
        <v>1152</v>
      </c>
      <c r="L403" s="872">
        <v>923</v>
      </c>
      <c r="M403" s="873"/>
      <c r="O403" s="872">
        <f t="shared" si="72"/>
        <v>978.38</v>
      </c>
      <c r="P403" s="872">
        <f t="shared" si="73"/>
        <v>1037.0828</v>
      </c>
    </row>
    <row r="404" spans="1:16" s="868" customFormat="1" ht="12.75">
      <c r="A404" s="868" t="s">
        <v>818</v>
      </c>
      <c r="B404" s="838"/>
      <c r="C404" s="869"/>
      <c r="D404" s="530"/>
      <c r="E404" s="530"/>
      <c r="F404" s="870"/>
      <c r="G404" s="871"/>
      <c r="H404" s="871"/>
      <c r="I404" s="872"/>
      <c r="J404" s="872"/>
      <c r="K404" s="872" t="s">
        <v>1152</v>
      </c>
      <c r="L404" s="872">
        <v>923</v>
      </c>
      <c r="M404" s="873"/>
      <c r="O404" s="872">
        <f t="shared" si="72"/>
        <v>978.38</v>
      </c>
      <c r="P404" s="872">
        <f t="shared" si="73"/>
        <v>1037.0828</v>
      </c>
    </row>
    <row r="405" spans="1:16" s="868" customFormat="1" ht="12.75">
      <c r="A405" s="868" t="s">
        <v>820</v>
      </c>
      <c r="B405" s="838"/>
      <c r="C405" s="869"/>
      <c r="D405" s="530"/>
      <c r="E405" s="530"/>
      <c r="F405" s="870"/>
      <c r="G405" s="871"/>
      <c r="H405" s="871"/>
      <c r="I405" s="872"/>
      <c r="J405" s="872"/>
      <c r="K405" s="872" t="s">
        <v>1152</v>
      </c>
      <c r="L405" s="872">
        <v>923</v>
      </c>
      <c r="M405" s="873"/>
      <c r="O405" s="872">
        <f t="shared" si="72"/>
        <v>978.38</v>
      </c>
      <c r="P405" s="872">
        <f t="shared" si="73"/>
        <v>1037.0828</v>
      </c>
    </row>
    <row r="406" spans="1:16" s="868" customFormat="1" ht="12.75">
      <c r="A406" s="868" t="s">
        <v>819</v>
      </c>
      <c r="B406" s="838"/>
      <c r="C406" s="869"/>
      <c r="D406" s="530"/>
      <c r="E406" s="530"/>
      <c r="F406" s="870"/>
      <c r="G406" s="871"/>
      <c r="H406" s="871"/>
      <c r="I406" s="872"/>
      <c r="J406" s="872"/>
      <c r="K406" s="872" t="s">
        <v>1152</v>
      </c>
      <c r="L406" s="872">
        <v>923</v>
      </c>
      <c r="M406" s="873"/>
      <c r="O406" s="872">
        <f t="shared" si="72"/>
        <v>978.38</v>
      </c>
      <c r="P406" s="872">
        <f t="shared" si="73"/>
        <v>1037.0828</v>
      </c>
    </row>
    <row r="407" spans="1:16" s="868" customFormat="1" ht="12.75">
      <c r="A407" s="868" t="s">
        <v>1404</v>
      </c>
      <c r="B407" s="838"/>
      <c r="C407" s="869"/>
      <c r="D407" s="530"/>
      <c r="E407" s="530"/>
      <c r="F407" s="870"/>
      <c r="G407" s="871"/>
      <c r="H407" s="871"/>
      <c r="I407" s="872"/>
      <c r="J407" s="872"/>
      <c r="K407" s="872" t="s">
        <v>1152</v>
      </c>
      <c r="L407" s="872">
        <v>839</v>
      </c>
      <c r="M407" s="873"/>
      <c r="O407" s="872">
        <f t="shared" si="72"/>
        <v>889.34</v>
      </c>
      <c r="P407" s="872">
        <f t="shared" si="73"/>
        <v>942.7004000000001</v>
      </c>
    </row>
    <row r="408" spans="1:16" ht="13.5" hidden="1">
      <c r="A408" s="20" t="s">
        <v>472</v>
      </c>
      <c r="B408" s="21">
        <v>400</v>
      </c>
      <c r="C408" s="65">
        <f aca="true" t="shared" si="74" ref="C408:E409">B408*1.1</f>
        <v>440.00000000000006</v>
      </c>
      <c r="D408" s="66">
        <f t="shared" si="74"/>
        <v>484.0000000000001</v>
      </c>
      <c r="E408" s="66">
        <f t="shared" si="74"/>
        <v>532.4000000000002</v>
      </c>
      <c r="F408" s="43">
        <f>(E408-D408)/D408</f>
        <v>0.10000000000000016</v>
      </c>
      <c r="G408" s="112">
        <v>626.6348000000004</v>
      </c>
      <c r="H408" s="112">
        <f>G408*1.06</f>
        <v>664.2328880000005</v>
      </c>
      <c r="I408" s="271">
        <f>H408*1.06</f>
        <v>704.0868612800006</v>
      </c>
      <c r="J408" s="271">
        <f>(I408*$M$12)+I408</f>
        <v>746.3320729568006</v>
      </c>
      <c r="K408" s="271">
        <f>(J408*$M$12)+J408</f>
        <v>791.1119973342087</v>
      </c>
      <c r="L408" s="271">
        <f>(K408*M408)+K408</f>
        <v>838.5787171742612</v>
      </c>
      <c r="M408" s="832">
        <f>$M$7</f>
        <v>0.06</v>
      </c>
      <c r="O408" s="271">
        <f>(L408*$O$7)+L408</f>
        <v>888.8934402047169</v>
      </c>
      <c r="P408" s="271">
        <f>(O408*$P$7)+O408</f>
        <v>942.2270466169998</v>
      </c>
    </row>
    <row r="409" spans="1:16" s="22" customFormat="1" ht="12.75">
      <c r="A409" s="22" t="s">
        <v>473</v>
      </c>
      <c r="B409" s="69">
        <v>400</v>
      </c>
      <c r="C409" s="82">
        <f t="shared" si="74"/>
        <v>440.00000000000006</v>
      </c>
      <c r="D409" s="175">
        <f t="shared" si="74"/>
        <v>484.0000000000001</v>
      </c>
      <c r="E409" s="175">
        <f t="shared" si="74"/>
        <v>532.4000000000002</v>
      </c>
      <c r="F409" s="84">
        <f>(E409-D409)/D409</f>
        <v>0.10000000000000016</v>
      </c>
      <c r="G409" s="841">
        <v>626.6348000000004</v>
      </c>
      <c r="H409" s="841">
        <f>G409*1.06</f>
        <v>664.2328880000005</v>
      </c>
      <c r="I409" s="831">
        <f>H409*1.06</f>
        <v>704.0868612800006</v>
      </c>
      <c r="J409" s="831">
        <f>(I409*$M$12)+I409</f>
        <v>746.3320729568006</v>
      </c>
      <c r="K409" s="831">
        <f>(J409*$M$12)+J409</f>
        <v>791.1119973342087</v>
      </c>
      <c r="L409" s="831"/>
      <c r="M409" s="953"/>
      <c r="O409" s="831"/>
      <c r="P409" s="831"/>
    </row>
    <row r="410" spans="1:16" s="868" customFormat="1" ht="12.75">
      <c r="A410" s="868" t="s">
        <v>822</v>
      </c>
      <c r="B410" s="838"/>
      <c r="C410" s="869"/>
      <c r="D410" s="530"/>
      <c r="E410" s="530"/>
      <c r="F410" s="870"/>
      <c r="G410" s="871"/>
      <c r="H410" s="871"/>
      <c r="I410" s="872"/>
      <c r="J410" s="872"/>
      <c r="K410" s="872" t="s">
        <v>1152</v>
      </c>
      <c r="L410" s="872">
        <v>839</v>
      </c>
      <c r="M410" s="873"/>
      <c r="O410" s="872">
        <f aca="true" t="shared" si="75" ref="O410:O416">(L410*$O$7)+L410</f>
        <v>889.34</v>
      </c>
      <c r="P410" s="872">
        <f aca="true" t="shared" si="76" ref="P410:P416">(O410*$P$7)+O410</f>
        <v>942.7004000000001</v>
      </c>
    </row>
    <row r="411" spans="1:16" s="868" customFormat="1" ht="12.75">
      <c r="A411" s="868" t="s">
        <v>823</v>
      </c>
      <c r="B411" s="838"/>
      <c r="C411" s="869"/>
      <c r="D411" s="530"/>
      <c r="E411" s="530"/>
      <c r="F411" s="870"/>
      <c r="G411" s="871"/>
      <c r="H411" s="871"/>
      <c r="I411" s="872"/>
      <c r="J411" s="872"/>
      <c r="K411" s="872" t="s">
        <v>1152</v>
      </c>
      <c r="L411" s="872">
        <v>839</v>
      </c>
      <c r="M411" s="873"/>
      <c r="O411" s="872">
        <f t="shared" si="75"/>
        <v>889.34</v>
      </c>
      <c r="P411" s="872">
        <f t="shared" si="76"/>
        <v>942.7004000000001</v>
      </c>
    </row>
    <row r="412" spans="1:16" s="868" customFormat="1" ht="12.75">
      <c r="A412" s="868" t="s">
        <v>817</v>
      </c>
      <c r="B412" s="838"/>
      <c r="C412" s="869"/>
      <c r="D412" s="530"/>
      <c r="E412" s="530"/>
      <c r="F412" s="870"/>
      <c r="G412" s="871"/>
      <c r="H412" s="871"/>
      <c r="I412" s="872"/>
      <c r="J412" s="872"/>
      <c r="K412" s="872" t="s">
        <v>1152</v>
      </c>
      <c r="L412" s="872">
        <v>923</v>
      </c>
      <c r="M412" s="873"/>
      <c r="O412" s="872">
        <f t="shared" si="75"/>
        <v>978.38</v>
      </c>
      <c r="P412" s="872">
        <f t="shared" si="76"/>
        <v>1037.0828</v>
      </c>
    </row>
    <row r="413" spans="1:16" s="868" customFormat="1" ht="12.75">
      <c r="A413" s="868" t="s">
        <v>818</v>
      </c>
      <c r="B413" s="838"/>
      <c r="C413" s="869"/>
      <c r="D413" s="530"/>
      <c r="E413" s="530"/>
      <c r="F413" s="870"/>
      <c r="G413" s="871"/>
      <c r="H413" s="871"/>
      <c r="I413" s="872"/>
      <c r="J413" s="872"/>
      <c r="K413" s="872" t="s">
        <v>1152</v>
      </c>
      <c r="L413" s="872">
        <v>923</v>
      </c>
      <c r="M413" s="873"/>
      <c r="O413" s="872">
        <f t="shared" si="75"/>
        <v>978.38</v>
      </c>
      <c r="P413" s="872">
        <f t="shared" si="76"/>
        <v>1037.0828</v>
      </c>
    </row>
    <row r="414" spans="1:16" s="868" customFormat="1" ht="12.75">
      <c r="A414" s="868" t="s">
        <v>820</v>
      </c>
      <c r="B414" s="838"/>
      <c r="C414" s="869"/>
      <c r="D414" s="530"/>
      <c r="E414" s="530"/>
      <c r="F414" s="870"/>
      <c r="G414" s="871"/>
      <c r="H414" s="871"/>
      <c r="I414" s="872"/>
      <c r="J414" s="872"/>
      <c r="K414" s="872" t="s">
        <v>1152</v>
      </c>
      <c r="L414" s="872">
        <v>923</v>
      </c>
      <c r="M414" s="873"/>
      <c r="O414" s="872">
        <f t="shared" si="75"/>
        <v>978.38</v>
      </c>
      <c r="P414" s="872">
        <f t="shared" si="76"/>
        <v>1037.0828</v>
      </c>
    </row>
    <row r="415" spans="1:16" s="868" customFormat="1" ht="12.75">
      <c r="A415" s="868" t="s">
        <v>819</v>
      </c>
      <c r="B415" s="838"/>
      <c r="C415" s="869"/>
      <c r="D415" s="530"/>
      <c r="E415" s="530"/>
      <c r="F415" s="870"/>
      <c r="G415" s="871"/>
      <c r="H415" s="871"/>
      <c r="I415" s="872"/>
      <c r="J415" s="872"/>
      <c r="K415" s="872" t="s">
        <v>1152</v>
      </c>
      <c r="L415" s="872">
        <v>923</v>
      </c>
      <c r="M415" s="873"/>
      <c r="O415" s="872">
        <f t="shared" si="75"/>
        <v>978.38</v>
      </c>
      <c r="P415" s="872">
        <f t="shared" si="76"/>
        <v>1037.0828</v>
      </c>
    </row>
    <row r="416" spans="1:16" s="868" customFormat="1" ht="12.75">
      <c r="A416" s="868" t="s">
        <v>1404</v>
      </c>
      <c r="B416" s="838"/>
      <c r="C416" s="869"/>
      <c r="D416" s="530"/>
      <c r="E416" s="530"/>
      <c r="F416" s="870"/>
      <c r="G416" s="871"/>
      <c r="H416" s="871"/>
      <c r="I416" s="872"/>
      <c r="J416" s="872"/>
      <c r="K416" s="872" t="s">
        <v>1152</v>
      </c>
      <c r="L416" s="872">
        <v>839</v>
      </c>
      <c r="M416" s="873"/>
      <c r="O416" s="872">
        <f t="shared" si="75"/>
        <v>889.34</v>
      </c>
      <c r="P416" s="872">
        <f t="shared" si="76"/>
        <v>942.7004000000001</v>
      </c>
    </row>
    <row r="417" spans="1:16" s="22" customFormat="1" ht="12.75">
      <c r="A417" s="22" t="s">
        <v>474</v>
      </c>
      <c r="B417" s="69">
        <v>400</v>
      </c>
      <c r="C417" s="82">
        <f>B417*1.1</f>
        <v>440.00000000000006</v>
      </c>
      <c r="D417" s="175">
        <f>C417*1.1</f>
        <v>484.0000000000001</v>
      </c>
      <c r="E417" s="175">
        <f>D417*1.1</f>
        <v>532.4000000000002</v>
      </c>
      <c r="F417" s="84">
        <f>(E417-D417)/D417</f>
        <v>0.10000000000000016</v>
      </c>
      <c r="G417" s="841">
        <v>626.6348000000004</v>
      </c>
      <c r="H417" s="841">
        <f>G417*1.06</f>
        <v>664.2328880000005</v>
      </c>
      <c r="I417" s="831">
        <f>H417*1.06</f>
        <v>704.0868612800006</v>
      </c>
      <c r="J417" s="831">
        <f>(I417*$M$12)+I417</f>
        <v>746.3320729568006</v>
      </c>
      <c r="K417" s="831">
        <f>(J417*$M$12)+J417</f>
        <v>791.1119973342087</v>
      </c>
      <c r="L417" s="831"/>
      <c r="M417" s="953"/>
      <c r="O417" s="831"/>
      <c r="P417" s="831"/>
    </row>
    <row r="418" spans="1:16" s="868" customFormat="1" ht="12.75">
      <c r="A418" s="868" t="s">
        <v>822</v>
      </c>
      <c r="B418" s="838"/>
      <c r="C418" s="869"/>
      <c r="D418" s="530"/>
      <c r="E418" s="530"/>
      <c r="F418" s="870"/>
      <c r="G418" s="871"/>
      <c r="H418" s="871"/>
      <c r="I418" s="872"/>
      <c r="J418" s="872"/>
      <c r="K418" s="872" t="s">
        <v>1152</v>
      </c>
      <c r="L418" s="872">
        <v>839</v>
      </c>
      <c r="M418" s="873"/>
      <c r="O418" s="872">
        <f aca="true" t="shared" si="77" ref="O418:O424">(L418*$O$7)+L418</f>
        <v>889.34</v>
      </c>
      <c r="P418" s="872">
        <f aca="true" t="shared" si="78" ref="P418:P424">(O418*$P$7)+O418</f>
        <v>942.7004000000001</v>
      </c>
    </row>
    <row r="419" spans="1:16" s="868" customFormat="1" ht="12.75">
      <c r="A419" s="868" t="s">
        <v>823</v>
      </c>
      <c r="B419" s="838"/>
      <c r="C419" s="869"/>
      <c r="D419" s="530"/>
      <c r="E419" s="530"/>
      <c r="F419" s="870"/>
      <c r="G419" s="871"/>
      <c r="H419" s="871"/>
      <c r="I419" s="872"/>
      <c r="J419" s="872"/>
      <c r="K419" s="872" t="s">
        <v>1152</v>
      </c>
      <c r="L419" s="872">
        <v>839</v>
      </c>
      <c r="M419" s="873"/>
      <c r="O419" s="872">
        <f t="shared" si="77"/>
        <v>889.34</v>
      </c>
      <c r="P419" s="872">
        <f t="shared" si="78"/>
        <v>942.7004000000001</v>
      </c>
    </row>
    <row r="420" spans="1:16" s="868" customFormat="1" ht="12.75">
      <c r="A420" s="868" t="s">
        <v>817</v>
      </c>
      <c r="B420" s="838"/>
      <c r="C420" s="869"/>
      <c r="D420" s="530"/>
      <c r="E420" s="530"/>
      <c r="F420" s="870"/>
      <c r="G420" s="871"/>
      <c r="H420" s="871"/>
      <c r="I420" s="872"/>
      <c r="J420" s="872"/>
      <c r="K420" s="872" t="s">
        <v>1152</v>
      </c>
      <c r="L420" s="872">
        <v>923</v>
      </c>
      <c r="M420" s="873"/>
      <c r="O420" s="872">
        <f t="shared" si="77"/>
        <v>978.38</v>
      </c>
      <c r="P420" s="872">
        <f t="shared" si="78"/>
        <v>1037.0828</v>
      </c>
    </row>
    <row r="421" spans="1:16" s="868" customFormat="1" ht="12.75">
      <c r="A421" s="868" t="s">
        <v>818</v>
      </c>
      <c r="B421" s="838"/>
      <c r="C421" s="869"/>
      <c r="D421" s="530"/>
      <c r="E421" s="530"/>
      <c r="F421" s="870"/>
      <c r="G421" s="871"/>
      <c r="H421" s="871"/>
      <c r="I421" s="872"/>
      <c r="J421" s="872"/>
      <c r="K421" s="872" t="s">
        <v>1152</v>
      </c>
      <c r="L421" s="872">
        <v>923</v>
      </c>
      <c r="M421" s="873"/>
      <c r="O421" s="872">
        <f t="shared" si="77"/>
        <v>978.38</v>
      </c>
      <c r="P421" s="872">
        <f t="shared" si="78"/>
        <v>1037.0828</v>
      </c>
    </row>
    <row r="422" spans="1:16" s="868" customFormat="1" ht="12.75">
      <c r="A422" s="868" t="s">
        <v>820</v>
      </c>
      <c r="B422" s="838"/>
      <c r="C422" s="869"/>
      <c r="D422" s="530"/>
      <c r="E422" s="530"/>
      <c r="F422" s="870"/>
      <c r="G422" s="871"/>
      <c r="H422" s="871"/>
      <c r="I422" s="872"/>
      <c r="J422" s="872"/>
      <c r="K422" s="872" t="s">
        <v>1152</v>
      </c>
      <c r="L422" s="872">
        <v>923</v>
      </c>
      <c r="M422" s="873"/>
      <c r="O422" s="872">
        <f t="shared" si="77"/>
        <v>978.38</v>
      </c>
      <c r="P422" s="872">
        <f t="shared" si="78"/>
        <v>1037.0828</v>
      </c>
    </row>
    <row r="423" spans="1:16" s="868" customFormat="1" ht="12.75">
      <c r="A423" s="868" t="s">
        <v>819</v>
      </c>
      <c r="B423" s="838"/>
      <c r="C423" s="869"/>
      <c r="D423" s="530"/>
      <c r="E423" s="530"/>
      <c r="F423" s="870"/>
      <c r="G423" s="871"/>
      <c r="H423" s="871"/>
      <c r="I423" s="872"/>
      <c r="J423" s="872"/>
      <c r="K423" s="872" t="s">
        <v>1152</v>
      </c>
      <c r="L423" s="872">
        <v>923</v>
      </c>
      <c r="M423" s="873"/>
      <c r="O423" s="872">
        <f t="shared" si="77"/>
        <v>978.38</v>
      </c>
      <c r="P423" s="872">
        <f t="shared" si="78"/>
        <v>1037.0828</v>
      </c>
    </row>
    <row r="424" spans="1:16" s="868" customFormat="1" ht="12.75">
      <c r="A424" s="868" t="s">
        <v>1404</v>
      </c>
      <c r="C424" s="838"/>
      <c r="D424" s="530"/>
      <c r="E424" s="874"/>
      <c r="G424" s="875"/>
      <c r="H424" s="871"/>
      <c r="I424" s="872"/>
      <c r="J424" s="872"/>
      <c r="K424" s="872" t="s">
        <v>1152</v>
      </c>
      <c r="L424" s="872">
        <v>839</v>
      </c>
      <c r="M424" s="873"/>
      <c r="O424" s="872">
        <f t="shared" si="77"/>
        <v>889.34</v>
      </c>
      <c r="P424" s="868">
        <f t="shared" si="78"/>
        <v>942.7004000000001</v>
      </c>
    </row>
    <row r="425" spans="4:15" ht="12.75">
      <c r="D425" s="66"/>
      <c r="E425" s="70"/>
      <c r="H425" s="112"/>
      <c r="I425" s="271"/>
      <c r="J425" s="271"/>
      <c r="K425" s="271"/>
      <c r="L425" s="271"/>
      <c r="M425" s="832"/>
      <c r="O425" s="271"/>
    </row>
    <row r="426" spans="1:15" s="22" customFormat="1" ht="12.75">
      <c r="A426" s="22" t="s">
        <v>281</v>
      </c>
      <c r="C426" s="69"/>
      <c r="D426" s="66"/>
      <c r="E426" s="70"/>
      <c r="G426" s="102"/>
      <c r="H426" s="112"/>
      <c r="I426" s="271"/>
      <c r="J426" s="271"/>
      <c r="K426" s="271"/>
      <c r="L426" s="271"/>
      <c r="M426" s="832"/>
      <c r="O426" s="271"/>
    </row>
    <row r="427" spans="1:16" ht="12.75">
      <c r="A427" s="20" t="s">
        <v>271</v>
      </c>
      <c r="B427" s="21">
        <v>457.4620800000001</v>
      </c>
      <c r="C427" s="65">
        <f aca="true" t="shared" si="79" ref="C427:D439">B427*1.1</f>
        <v>503.2082880000002</v>
      </c>
      <c r="D427" s="66">
        <f t="shared" si="79"/>
        <v>553.5291168000002</v>
      </c>
      <c r="E427" s="66">
        <f aca="true" t="shared" si="80" ref="E427:E439">D427*1.1</f>
        <v>608.8820284800003</v>
      </c>
      <c r="F427" s="43">
        <f aca="true" t="shared" si="81" ref="F427:F439">(E427-D427)/D427</f>
        <v>0.10000000000000002</v>
      </c>
      <c r="G427" s="112">
        <v>716.6541475209605</v>
      </c>
      <c r="H427" s="112">
        <f aca="true" t="shared" si="82" ref="H427:H439">G427*1.06</f>
        <v>759.6533963722181</v>
      </c>
      <c r="I427" s="271">
        <f aca="true" t="shared" si="83" ref="I427:I439">H427*1.06</f>
        <v>805.2326001545513</v>
      </c>
      <c r="J427" s="271">
        <f aca="true" t="shared" si="84" ref="J427:J439">(I427*$M$12)+I427</f>
        <v>853.5465561638243</v>
      </c>
      <c r="K427" s="271">
        <f aca="true" t="shared" si="85" ref="K427:K439">(J427*$M$12)+J427</f>
        <v>904.7593495336538</v>
      </c>
      <c r="L427" s="271">
        <f aca="true" t="shared" si="86" ref="L427:L439">(K427*M427)+K427</f>
        <v>959.044910505673</v>
      </c>
      <c r="M427" s="832">
        <f aca="true" t="shared" si="87" ref="M427:M439">$M$7</f>
        <v>0.06</v>
      </c>
      <c r="O427" s="271">
        <f aca="true" t="shared" si="88" ref="O427:O439">(L427*$O$7)+L427</f>
        <v>1016.5876051360134</v>
      </c>
      <c r="P427" s="271">
        <f aca="true" t="shared" si="89" ref="P427:P439">(O427*$P$7)+O427</f>
        <v>1077.5828614441741</v>
      </c>
    </row>
    <row r="428" spans="1:16" ht="12.75">
      <c r="A428" s="20" t="s">
        <v>272</v>
      </c>
      <c r="B428" s="21">
        <v>519.2812800000002</v>
      </c>
      <c r="C428" s="65">
        <f t="shared" si="79"/>
        <v>571.2094080000002</v>
      </c>
      <c r="D428" s="66">
        <f t="shared" si="79"/>
        <v>628.3303488000003</v>
      </c>
      <c r="E428" s="66">
        <f t="shared" si="80"/>
        <v>691.1633836800004</v>
      </c>
      <c r="F428" s="43">
        <f t="shared" si="81"/>
        <v>0.10000000000000016</v>
      </c>
      <c r="G428" s="112">
        <v>813.4993025913606</v>
      </c>
      <c r="H428" s="112">
        <f t="shared" si="82"/>
        <v>862.3092607468423</v>
      </c>
      <c r="I428" s="271">
        <f t="shared" si="83"/>
        <v>914.0478163916529</v>
      </c>
      <c r="J428" s="271">
        <f t="shared" si="84"/>
        <v>968.8906853751521</v>
      </c>
      <c r="K428" s="271">
        <f t="shared" si="85"/>
        <v>1027.0241264976612</v>
      </c>
      <c r="L428" s="271">
        <f t="shared" si="86"/>
        <v>1088.6455740875208</v>
      </c>
      <c r="M428" s="832">
        <f t="shared" si="87"/>
        <v>0.06</v>
      </c>
      <c r="O428" s="271">
        <f t="shared" si="88"/>
        <v>1153.964308532772</v>
      </c>
      <c r="P428" s="271">
        <f t="shared" si="89"/>
        <v>1223.2021670447384</v>
      </c>
    </row>
    <row r="429" spans="1:16" ht="12.75">
      <c r="A429" s="20" t="s">
        <v>273</v>
      </c>
      <c r="B429" s="21">
        <v>519.2812800000002</v>
      </c>
      <c r="C429" s="65">
        <f t="shared" si="79"/>
        <v>571.2094080000002</v>
      </c>
      <c r="D429" s="66">
        <f t="shared" si="79"/>
        <v>628.3303488000003</v>
      </c>
      <c r="E429" s="66">
        <f t="shared" si="80"/>
        <v>691.1633836800004</v>
      </c>
      <c r="F429" s="43">
        <f t="shared" si="81"/>
        <v>0.10000000000000016</v>
      </c>
      <c r="G429" s="112">
        <v>813.4993025913606</v>
      </c>
      <c r="H429" s="112">
        <f t="shared" si="82"/>
        <v>862.3092607468423</v>
      </c>
      <c r="I429" s="271">
        <f t="shared" si="83"/>
        <v>914.0478163916529</v>
      </c>
      <c r="J429" s="271">
        <f t="shared" si="84"/>
        <v>968.8906853751521</v>
      </c>
      <c r="K429" s="271">
        <f t="shared" si="85"/>
        <v>1027.0241264976612</v>
      </c>
      <c r="L429" s="271">
        <f t="shared" si="86"/>
        <v>1088.6455740875208</v>
      </c>
      <c r="M429" s="832">
        <f t="shared" si="87"/>
        <v>0.06</v>
      </c>
      <c r="O429" s="271">
        <f t="shared" si="88"/>
        <v>1153.964308532772</v>
      </c>
      <c r="P429" s="271">
        <f t="shared" si="89"/>
        <v>1223.2021670447384</v>
      </c>
    </row>
    <row r="430" spans="1:16" ht="12.75">
      <c r="A430" s="20" t="s">
        <v>274</v>
      </c>
      <c r="B430" s="21">
        <v>519.2812800000002</v>
      </c>
      <c r="C430" s="65">
        <f t="shared" si="79"/>
        <v>571.2094080000002</v>
      </c>
      <c r="D430" s="66">
        <f t="shared" si="79"/>
        <v>628.3303488000003</v>
      </c>
      <c r="E430" s="66">
        <f t="shared" si="80"/>
        <v>691.1633836800004</v>
      </c>
      <c r="F430" s="43">
        <f t="shared" si="81"/>
        <v>0.10000000000000016</v>
      </c>
      <c r="G430" s="112">
        <v>813.4993025913606</v>
      </c>
      <c r="H430" s="112">
        <f t="shared" si="82"/>
        <v>862.3092607468423</v>
      </c>
      <c r="I430" s="271">
        <f t="shared" si="83"/>
        <v>914.0478163916529</v>
      </c>
      <c r="J430" s="271">
        <f t="shared" si="84"/>
        <v>968.8906853751521</v>
      </c>
      <c r="K430" s="271">
        <f t="shared" si="85"/>
        <v>1027.0241264976612</v>
      </c>
      <c r="L430" s="271">
        <f t="shared" si="86"/>
        <v>1088.6455740875208</v>
      </c>
      <c r="M430" s="832">
        <f t="shared" si="87"/>
        <v>0.06</v>
      </c>
      <c r="O430" s="271">
        <f t="shared" si="88"/>
        <v>1153.964308532772</v>
      </c>
      <c r="P430" s="271">
        <f t="shared" si="89"/>
        <v>1223.2021670447384</v>
      </c>
    </row>
    <row r="431" spans="1:16" ht="12.75">
      <c r="A431" s="20" t="s">
        <v>275</v>
      </c>
      <c r="B431" s="21">
        <v>457.4620800000001</v>
      </c>
      <c r="C431" s="65">
        <f t="shared" si="79"/>
        <v>503.2082880000002</v>
      </c>
      <c r="D431" s="66">
        <f t="shared" si="79"/>
        <v>553.5291168000002</v>
      </c>
      <c r="E431" s="66">
        <f t="shared" si="80"/>
        <v>608.8820284800003</v>
      </c>
      <c r="F431" s="43">
        <f t="shared" si="81"/>
        <v>0.10000000000000002</v>
      </c>
      <c r="G431" s="112">
        <v>716.6541475209605</v>
      </c>
      <c r="H431" s="112">
        <f t="shared" si="82"/>
        <v>759.6533963722181</v>
      </c>
      <c r="I431" s="271">
        <f t="shared" si="83"/>
        <v>805.2326001545513</v>
      </c>
      <c r="J431" s="271">
        <f t="shared" si="84"/>
        <v>853.5465561638243</v>
      </c>
      <c r="K431" s="271">
        <f t="shared" si="85"/>
        <v>904.7593495336538</v>
      </c>
      <c r="L431" s="271">
        <f t="shared" si="86"/>
        <v>959.044910505673</v>
      </c>
      <c r="M431" s="832">
        <f t="shared" si="87"/>
        <v>0.06</v>
      </c>
      <c r="O431" s="271">
        <f t="shared" si="88"/>
        <v>1016.5876051360134</v>
      </c>
      <c r="P431" s="271">
        <f t="shared" si="89"/>
        <v>1077.5828614441741</v>
      </c>
    </row>
    <row r="432" spans="1:16" ht="12.75">
      <c r="A432" s="20" t="s">
        <v>276</v>
      </c>
      <c r="B432" s="21">
        <v>457.4620800000001</v>
      </c>
      <c r="C432" s="65">
        <f t="shared" si="79"/>
        <v>503.2082880000002</v>
      </c>
      <c r="D432" s="66">
        <f t="shared" si="79"/>
        <v>553.5291168000002</v>
      </c>
      <c r="E432" s="66">
        <f t="shared" si="80"/>
        <v>608.8820284800003</v>
      </c>
      <c r="F432" s="43">
        <f t="shared" si="81"/>
        <v>0.10000000000000002</v>
      </c>
      <c r="G432" s="112">
        <v>716.6541475209605</v>
      </c>
      <c r="H432" s="112">
        <f t="shared" si="82"/>
        <v>759.6533963722181</v>
      </c>
      <c r="I432" s="271">
        <f t="shared" si="83"/>
        <v>805.2326001545513</v>
      </c>
      <c r="J432" s="271">
        <f t="shared" si="84"/>
        <v>853.5465561638243</v>
      </c>
      <c r="K432" s="271">
        <f t="shared" si="85"/>
        <v>904.7593495336538</v>
      </c>
      <c r="L432" s="271">
        <f t="shared" si="86"/>
        <v>959.044910505673</v>
      </c>
      <c r="M432" s="832">
        <f t="shared" si="87"/>
        <v>0.06</v>
      </c>
      <c r="O432" s="271">
        <f t="shared" si="88"/>
        <v>1016.5876051360134</v>
      </c>
      <c r="P432" s="271">
        <f t="shared" si="89"/>
        <v>1077.5828614441741</v>
      </c>
    </row>
    <row r="433" spans="1:16" ht="12.75">
      <c r="A433" s="20" t="s">
        <v>277</v>
      </c>
      <c r="B433" s="21">
        <v>519.2812800000002</v>
      </c>
      <c r="C433" s="65">
        <f t="shared" si="79"/>
        <v>571.2094080000002</v>
      </c>
      <c r="D433" s="66">
        <f t="shared" si="79"/>
        <v>628.3303488000003</v>
      </c>
      <c r="E433" s="66">
        <f t="shared" si="80"/>
        <v>691.1633836800004</v>
      </c>
      <c r="F433" s="43">
        <f t="shared" si="81"/>
        <v>0.10000000000000016</v>
      </c>
      <c r="G433" s="112">
        <v>813.4993025913606</v>
      </c>
      <c r="H433" s="112">
        <f t="shared" si="82"/>
        <v>862.3092607468423</v>
      </c>
      <c r="I433" s="271">
        <f t="shared" si="83"/>
        <v>914.0478163916529</v>
      </c>
      <c r="J433" s="271">
        <f t="shared" si="84"/>
        <v>968.8906853751521</v>
      </c>
      <c r="K433" s="271">
        <f t="shared" si="85"/>
        <v>1027.0241264976612</v>
      </c>
      <c r="L433" s="271">
        <f t="shared" si="86"/>
        <v>1088.6455740875208</v>
      </c>
      <c r="M433" s="832">
        <f t="shared" si="87"/>
        <v>0.06</v>
      </c>
      <c r="O433" s="271">
        <f t="shared" si="88"/>
        <v>1153.964308532772</v>
      </c>
      <c r="P433" s="271">
        <f t="shared" si="89"/>
        <v>1223.2021670447384</v>
      </c>
    </row>
    <row r="434" spans="1:16" ht="12.75">
      <c r="A434" s="20" t="s">
        <v>469</v>
      </c>
      <c r="B434" s="21">
        <v>400</v>
      </c>
      <c r="C434" s="65">
        <f t="shared" si="79"/>
        <v>440.00000000000006</v>
      </c>
      <c r="D434" s="66">
        <f t="shared" si="79"/>
        <v>484.0000000000001</v>
      </c>
      <c r="E434" s="66">
        <f t="shared" si="80"/>
        <v>532.4000000000002</v>
      </c>
      <c r="F434" s="43">
        <f t="shared" si="81"/>
        <v>0.10000000000000016</v>
      </c>
      <c r="G434" s="112">
        <v>626.6348000000004</v>
      </c>
      <c r="H434" s="112">
        <f t="shared" si="82"/>
        <v>664.2328880000005</v>
      </c>
      <c r="I434" s="271">
        <f t="shared" si="83"/>
        <v>704.0868612800006</v>
      </c>
      <c r="J434" s="271">
        <f t="shared" si="84"/>
        <v>746.3320729568006</v>
      </c>
      <c r="K434" s="271">
        <f t="shared" si="85"/>
        <v>791.1119973342087</v>
      </c>
      <c r="L434" s="271">
        <f t="shared" si="86"/>
        <v>838.5787171742612</v>
      </c>
      <c r="M434" s="832">
        <f t="shared" si="87"/>
        <v>0.06</v>
      </c>
      <c r="O434" s="271">
        <f t="shared" si="88"/>
        <v>888.8934402047169</v>
      </c>
      <c r="P434" s="271">
        <f t="shared" si="89"/>
        <v>942.2270466169998</v>
      </c>
    </row>
    <row r="435" spans="1:16" ht="12.75">
      <c r="A435" s="20" t="s">
        <v>470</v>
      </c>
      <c r="B435" s="21">
        <v>400</v>
      </c>
      <c r="C435" s="65">
        <f t="shared" si="79"/>
        <v>440.00000000000006</v>
      </c>
      <c r="D435" s="66">
        <f t="shared" si="79"/>
        <v>484.0000000000001</v>
      </c>
      <c r="E435" s="66">
        <f t="shared" si="80"/>
        <v>532.4000000000002</v>
      </c>
      <c r="F435" s="43">
        <f t="shared" si="81"/>
        <v>0.10000000000000016</v>
      </c>
      <c r="G435" s="112">
        <v>626.6348000000004</v>
      </c>
      <c r="H435" s="112">
        <f t="shared" si="82"/>
        <v>664.2328880000005</v>
      </c>
      <c r="I435" s="271">
        <f t="shared" si="83"/>
        <v>704.0868612800006</v>
      </c>
      <c r="J435" s="271">
        <f t="shared" si="84"/>
        <v>746.3320729568006</v>
      </c>
      <c r="K435" s="271">
        <f t="shared" si="85"/>
        <v>791.1119973342087</v>
      </c>
      <c r="L435" s="271">
        <f t="shared" si="86"/>
        <v>838.5787171742612</v>
      </c>
      <c r="M435" s="832">
        <f t="shared" si="87"/>
        <v>0.06</v>
      </c>
      <c r="O435" s="271">
        <f t="shared" si="88"/>
        <v>888.8934402047169</v>
      </c>
      <c r="P435" s="271">
        <f t="shared" si="89"/>
        <v>942.2270466169998</v>
      </c>
    </row>
    <row r="436" spans="1:16" ht="12.75">
      <c r="A436" s="20" t="s">
        <v>471</v>
      </c>
      <c r="B436" s="21">
        <v>400</v>
      </c>
      <c r="C436" s="65">
        <f t="shared" si="79"/>
        <v>440.00000000000006</v>
      </c>
      <c r="D436" s="66">
        <f t="shared" si="79"/>
        <v>484.0000000000001</v>
      </c>
      <c r="E436" s="66">
        <f t="shared" si="80"/>
        <v>532.4000000000002</v>
      </c>
      <c r="F436" s="43">
        <f t="shared" si="81"/>
        <v>0.10000000000000016</v>
      </c>
      <c r="G436" s="112">
        <v>626.6348000000004</v>
      </c>
      <c r="H436" s="112">
        <f t="shared" si="82"/>
        <v>664.2328880000005</v>
      </c>
      <c r="I436" s="271">
        <f t="shared" si="83"/>
        <v>704.0868612800006</v>
      </c>
      <c r="J436" s="271">
        <f t="shared" si="84"/>
        <v>746.3320729568006</v>
      </c>
      <c r="K436" s="271">
        <f t="shared" si="85"/>
        <v>791.1119973342087</v>
      </c>
      <c r="L436" s="271">
        <f t="shared" si="86"/>
        <v>838.5787171742612</v>
      </c>
      <c r="M436" s="832">
        <f t="shared" si="87"/>
        <v>0.06</v>
      </c>
      <c r="O436" s="271">
        <f t="shared" si="88"/>
        <v>888.8934402047169</v>
      </c>
      <c r="P436" s="271">
        <f t="shared" si="89"/>
        <v>942.2270466169998</v>
      </c>
    </row>
    <row r="437" spans="1:16" ht="12.75">
      <c r="A437" s="20" t="s">
        <v>472</v>
      </c>
      <c r="B437" s="21">
        <v>400</v>
      </c>
      <c r="C437" s="65">
        <f t="shared" si="79"/>
        <v>440.00000000000006</v>
      </c>
      <c r="D437" s="66">
        <f t="shared" si="79"/>
        <v>484.0000000000001</v>
      </c>
      <c r="E437" s="66">
        <f t="shared" si="80"/>
        <v>532.4000000000002</v>
      </c>
      <c r="F437" s="43">
        <f t="shared" si="81"/>
        <v>0.10000000000000016</v>
      </c>
      <c r="G437" s="112">
        <v>626.6348000000004</v>
      </c>
      <c r="H437" s="112">
        <f t="shared" si="82"/>
        <v>664.2328880000005</v>
      </c>
      <c r="I437" s="271">
        <f t="shared" si="83"/>
        <v>704.0868612800006</v>
      </c>
      <c r="J437" s="271">
        <f t="shared" si="84"/>
        <v>746.3320729568006</v>
      </c>
      <c r="K437" s="271">
        <f t="shared" si="85"/>
        <v>791.1119973342087</v>
      </c>
      <c r="L437" s="271">
        <f t="shared" si="86"/>
        <v>838.5787171742612</v>
      </c>
      <c r="M437" s="832">
        <f t="shared" si="87"/>
        <v>0.06</v>
      </c>
      <c r="O437" s="271">
        <f t="shared" si="88"/>
        <v>888.8934402047169</v>
      </c>
      <c r="P437" s="271">
        <f t="shared" si="89"/>
        <v>942.2270466169998</v>
      </c>
    </row>
    <row r="438" spans="1:16" ht="12.75">
      <c r="A438" s="20" t="s">
        <v>473</v>
      </c>
      <c r="B438" s="21">
        <v>400</v>
      </c>
      <c r="C438" s="65">
        <f t="shared" si="79"/>
        <v>440.00000000000006</v>
      </c>
      <c r="D438" s="66">
        <f t="shared" si="79"/>
        <v>484.0000000000001</v>
      </c>
      <c r="E438" s="66">
        <f t="shared" si="80"/>
        <v>532.4000000000002</v>
      </c>
      <c r="F438" s="43">
        <f t="shared" si="81"/>
        <v>0.10000000000000016</v>
      </c>
      <c r="G438" s="112">
        <v>626.6348000000004</v>
      </c>
      <c r="H438" s="112">
        <f t="shared" si="82"/>
        <v>664.2328880000005</v>
      </c>
      <c r="I438" s="271">
        <f t="shared" si="83"/>
        <v>704.0868612800006</v>
      </c>
      <c r="J438" s="271">
        <f t="shared" si="84"/>
        <v>746.3320729568006</v>
      </c>
      <c r="K438" s="271">
        <f t="shared" si="85"/>
        <v>791.1119973342087</v>
      </c>
      <c r="L438" s="271">
        <f t="shared" si="86"/>
        <v>838.5787171742612</v>
      </c>
      <c r="M438" s="832">
        <f t="shared" si="87"/>
        <v>0.06</v>
      </c>
      <c r="O438" s="271">
        <f t="shared" si="88"/>
        <v>888.8934402047169</v>
      </c>
      <c r="P438" s="271">
        <f t="shared" si="89"/>
        <v>942.2270466169998</v>
      </c>
    </row>
    <row r="439" spans="1:16" ht="12.75">
      <c r="A439" s="20" t="s">
        <v>474</v>
      </c>
      <c r="B439" s="21">
        <v>400</v>
      </c>
      <c r="C439" s="65">
        <f t="shared" si="79"/>
        <v>440.00000000000006</v>
      </c>
      <c r="D439" s="66">
        <f t="shared" si="79"/>
        <v>484.0000000000001</v>
      </c>
      <c r="E439" s="66">
        <f t="shared" si="80"/>
        <v>532.4000000000002</v>
      </c>
      <c r="F439" s="43">
        <f t="shared" si="81"/>
        <v>0.10000000000000016</v>
      </c>
      <c r="G439" s="112">
        <v>626.6348000000004</v>
      </c>
      <c r="H439" s="112">
        <f t="shared" si="82"/>
        <v>664.2328880000005</v>
      </c>
      <c r="I439" s="271">
        <f t="shared" si="83"/>
        <v>704.0868612800006</v>
      </c>
      <c r="J439" s="271">
        <f t="shared" si="84"/>
        <v>746.3320729568006</v>
      </c>
      <c r="K439" s="271">
        <f t="shared" si="85"/>
        <v>791.1119973342087</v>
      </c>
      <c r="L439" s="271">
        <f t="shared" si="86"/>
        <v>838.5787171742612</v>
      </c>
      <c r="M439" s="832">
        <f t="shared" si="87"/>
        <v>0.06</v>
      </c>
      <c r="O439" s="271">
        <f t="shared" si="88"/>
        <v>888.8934402047169</v>
      </c>
      <c r="P439" s="271">
        <f t="shared" si="89"/>
        <v>942.2270466169998</v>
      </c>
    </row>
    <row r="440" spans="4:15" ht="12.75">
      <c r="D440" s="66"/>
      <c r="E440" s="70"/>
      <c r="H440" s="112"/>
      <c r="I440" s="271"/>
      <c r="J440" s="271"/>
      <c r="K440" s="271"/>
      <c r="L440" s="271"/>
      <c r="M440" s="832"/>
      <c r="O440" s="271"/>
    </row>
    <row r="441" spans="1:15" s="22" customFormat="1" ht="12.75">
      <c r="A441" s="22" t="s">
        <v>476</v>
      </c>
      <c r="C441" s="69"/>
      <c r="D441" s="66"/>
      <c r="E441" s="70"/>
      <c r="G441" s="102"/>
      <c r="H441" s="112"/>
      <c r="I441" s="271"/>
      <c r="J441" s="271"/>
      <c r="K441" s="271"/>
      <c r="L441" s="271"/>
      <c r="M441" s="832"/>
      <c r="O441" s="271"/>
    </row>
    <row r="442" spans="1:16" ht="12.75">
      <c r="A442" s="20" t="s">
        <v>271</v>
      </c>
      <c r="B442" s="21">
        <v>1112.7456000000002</v>
      </c>
      <c r="C442" s="65">
        <f aca="true" t="shared" si="90" ref="C442:D454">B442*1.1</f>
        <v>1224.0201600000003</v>
      </c>
      <c r="D442" s="66">
        <f t="shared" si="90"/>
        <v>1346.4221760000005</v>
      </c>
      <c r="E442" s="66">
        <f aca="true" t="shared" si="91" ref="E442:E454">D442*1.1</f>
        <v>1481.0643936000006</v>
      </c>
      <c r="F442" s="43">
        <f aca="true" t="shared" si="92" ref="F442:F454">(E442-D442)/D442</f>
        <v>0.10000000000000003</v>
      </c>
      <c r="G442" s="112">
        <v>1743.2127912672008</v>
      </c>
      <c r="H442" s="66">
        <f>G442*1.06</f>
        <v>1847.805558743233</v>
      </c>
      <c r="I442" s="271">
        <f aca="true" t="shared" si="93" ref="I442:I454">H442*1.06</f>
        <v>1958.6738922678271</v>
      </c>
      <c r="J442" s="271">
        <f aca="true" t="shared" si="94" ref="J442:J454">(I442*$M$12)+I442</f>
        <v>2076.194325803897</v>
      </c>
      <c r="K442" s="271">
        <f aca="true" t="shared" si="95" ref="K442:K454">(J442*$M$12)+J442</f>
        <v>2200.765985352131</v>
      </c>
      <c r="L442" s="271">
        <f aca="true" t="shared" si="96" ref="L442:L454">(K442*M442)+K442</f>
        <v>2332.811944473259</v>
      </c>
      <c r="M442" s="832">
        <f aca="true" t="shared" si="97" ref="M442:M454">$M$7</f>
        <v>0.06</v>
      </c>
      <c r="O442" s="271">
        <f aca="true" t="shared" si="98" ref="O442:O454">(L442*$O$7)+L442</f>
        <v>2472.7806611416545</v>
      </c>
      <c r="P442" s="271">
        <f aca="true" t="shared" si="99" ref="P442:P448">(O442*$P$7)+O442</f>
        <v>2621.147500810154</v>
      </c>
    </row>
    <row r="443" spans="1:16" ht="12.75">
      <c r="A443" s="20" t="s">
        <v>272</v>
      </c>
      <c r="B443" s="21">
        <v>717.1027200000002</v>
      </c>
      <c r="C443" s="65">
        <f t="shared" si="90"/>
        <v>788.8129920000002</v>
      </c>
      <c r="D443" s="66">
        <f t="shared" si="90"/>
        <v>867.6942912000003</v>
      </c>
      <c r="E443" s="66">
        <f t="shared" si="91"/>
        <v>954.4637203200004</v>
      </c>
      <c r="F443" s="43">
        <f t="shared" si="92"/>
        <v>0.10000000000000014</v>
      </c>
      <c r="G443" s="112">
        <v>1123.4037988166408</v>
      </c>
      <c r="H443" s="66">
        <f>G443*1.06</f>
        <v>1190.8080267456394</v>
      </c>
      <c r="I443" s="271">
        <f t="shared" si="93"/>
        <v>1262.2565083503778</v>
      </c>
      <c r="J443" s="271">
        <f t="shared" si="94"/>
        <v>1337.9918988514005</v>
      </c>
      <c r="K443" s="271">
        <f t="shared" si="95"/>
        <v>1418.2714127824845</v>
      </c>
      <c r="L443" s="271">
        <f t="shared" si="96"/>
        <v>1503.3676975494336</v>
      </c>
      <c r="M443" s="832">
        <f t="shared" si="97"/>
        <v>0.06</v>
      </c>
      <c r="O443" s="271">
        <f t="shared" si="98"/>
        <v>1593.5697594023995</v>
      </c>
      <c r="P443" s="271">
        <f t="shared" si="99"/>
        <v>1689.1839449665435</v>
      </c>
    </row>
    <row r="444" spans="1:16" ht="12.75">
      <c r="A444" s="20" t="s">
        <v>273</v>
      </c>
      <c r="B444" s="21">
        <v>717.1027200000002</v>
      </c>
      <c r="C444" s="65">
        <f t="shared" si="90"/>
        <v>788.8129920000002</v>
      </c>
      <c r="D444" s="66">
        <f t="shared" si="90"/>
        <v>867.6942912000003</v>
      </c>
      <c r="E444" s="66">
        <f t="shared" si="91"/>
        <v>954.4637203200004</v>
      </c>
      <c r="F444" s="43">
        <f t="shared" si="92"/>
        <v>0.10000000000000014</v>
      </c>
      <c r="G444" s="112">
        <v>1123.4037988166408</v>
      </c>
      <c r="H444" s="66">
        <f>G444*1.06</f>
        <v>1190.8080267456394</v>
      </c>
      <c r="I444" s="271">
        <f t="shared" si="93"/>
        <v>1262.2565083503778</v>
      </c>
      <c r="J444" s="271">
        <f t="shared" si="94"/>
        <v>1337.9918988514005</v>
      </c>
      <c r="K444" s="271">
        <f t="shared" si="95"/>
        <v>1418.2714127824845</v>
      </c>
      <c r="L444" s="271">
        <f t="shared" si="96"/>
        <v>1503.3676975494336</v>
      </c>
      <c r="M444" s="832">
        <f t="shared" si="97"/>
        <v>0.06</v>
      </c>
      <c r="O444" s="271">
        <f t="shared" si="98"/>
        <v>1593.5697594023995</v>
      </c>
      <c r="P444" s="271">
        <f t="shared" si="99"/>
        <v>1689.1839449665435</v>
      </c>
    </row>
    <row r="445" spans="1:16" ht="12.75">
      <c r="A445" s="20" t="s">
        <v>274</v>
      </c>
      <c r="B445" s="21">
        <v>717.1027200000002</v>
      </c>
      <c r="C445" s="65">
        <f t="shared" si="90"/>
        <v>788.8129920000002</v>
      </c>
      <c r="D445" s="66">
        <f t="shared" si="90"/>
        <v>867.6942912000003</v>
      </c>
      <c r="E445" s="66">
        <f t="shared" si="91"/>
        <v>954.4637203200004</v>
      </c>
      <c r="F445" s="43">
        <f t="shared" si="92"/>
        <v>0.10000000000000014</v>
      </c>
      <c r="G445" s="112">
        <v>1123.4037988166408</v>
      </c>
      <c r="H445" s="66">
        <f>G445*1.06</f>
        <v>1190.8080267456394</v>
      </c>
      <c r="I445" s="271">
        <f t="shared" si="93"/>
        <v>1262.2565083503778</v>
      </c>
      <c r="J445" s="271">
        <f t="shared" si="94"/>
        <v>1337.9918988514005</v>
      </c>
      <c r="K445" s="271">
        <f t="shared" si="95"/>
        <v>1418.2714127824845</v>
      </c>
      <c r="L445" s="271">
        <f t="shared" si="96"/>
        <v>1503.3676975494336</v>
      </c>
      <c r="M445" s="832">
        <f t="shared" si="97"/>
        <v>0.06</v>
      </c>
      <c r="O445" s="271">
        <f t="shared" si="98"/>
        <v>1593.5697594023995</v>
      </c>
      <c r="P445" s="271">
        <f t="shared" si="99"/>
        <v>1689.1839449665435</v>
      </c>
    </row>
    <row r="446" spans="1:16" ht="12.75">
      <c r="A446" s="20" t="s">
        <v>275</v>
      </c>
      <c r="B446" s="21">
        <v>593.46432</v>
      </c>
      <c r="C446" s="65">
        <f t="shared" si="90"/>
        <v>652.8107520000001</v>
      </c>
      <c r="D446" s="66">
        <f t="shared" si="90"/>
        <v>718.0918272000001</v>
      </c>
      <c r="E446" s="66">
        <f t="shared" si="91"/>
        <v>789.9010099200002</v>
      </c>
      <c r="F446" s="43">
        <f t="shared" si="92"/>
        <v>0.10000000000000009</v>
      </c>
      <c r="G446" s="112">
        <v>929.7134886758404</v>
      </c>
      <c r="H446" s="112">
        <f aca="true" t="shared" si="100" ref="H446:H454">G446*1.06</f>
        <v>985.4962979963908</v>
      </c>
      <c r="I446" s="271">
        <f t="shared" si="93"/>
        <v>1044.6260758761744</v>
      </c>
      <c r="J446" s="271">
        <f t="shared" si="94"/>
        <v>1107.3036404287448</v>
      </c>
      <c r="K446" s="271">
        <f t="shared" si="95"/>
        <v>1173.7418588544695</v>
      </c>
      <c r="L446" s="271">
        <f t="shared" si="96"/>
        <v>1244.1663703857375</v>
      </c>
      <c r="M446" s="832">
        <f t="shared" si="97"/>
        <v>0.06</v>
      </c>
      <c r="O446" s="271">
        <f t="shared" si="98"/>
        <v>1318.8163526088817</v>
      </c>
      <c r="P446" s="271">
        <f t="shared" si="99"/>
        <v>1397.9453337654147</v>
      </c>
    </row>
    <row r="447" spans="1:16" ht="12.75">
      <c r="A447" s="20" t="s">
        <v>276</v>
      </c>
      <c r="B447" s="21">
        <v>717.1027200000002</v>
      </c>
      <c r="C447" s="65">
        <f t="shared" si="90"/>
        <v>788.8129920000002</v>
      </c>
      <c r="D447" s="66">
        <f t="shared" si="90"/>
        <v>867.6942912000003</v>
      </c>
      <c r="E447" s="66">
        <f t="shared" si="91"/>
        <v>954.4637203200004</v>
      </c>
      <c r="F447" s="43">
        <f t="shared" si="92"/>
        <v>0.10000000000000014</v>
      </c>
      <c r="G447" s="112">
        <v>1123.4037988166408</v>
      </c>
      <c r="H447" s="66">
        <f t="shared" si="100"/>
        <v>1190.8080267456394</v>
      </c>
      <c r="I447" s="271">
        <f t="shared" si="93"/>
        <v>1262.2565083503778</v>
      </c>
      <c r="J447" s="271">
        <f t="shared" si="94"/>
        <v>1337.9918988514005</v>
      </c>
      <c r="K447" s="271">
        <f t="shared" si="95"/>
        <v>1418.2714127824845</v>
      </c>
      <c r="L447" s="271">
        <f t="shared" si="96"/>
        <v>1503.3676975494336</v>
      </c>
      <c r="M447" s="832">
        <f t="shared" si="97"/>
        <v>0.06</v>
      </c>
      <c r="O447" s="271">
        <f t="shared" si="98"/>
        <v>1593.5697594023995</v>
      </c>
      <c r="P447" s="271">
        <f t="shared" si="99"/>
        <v>1689.1839449665435</v>
      </c>
    </row>
    <row r="448" spans="1:16" ht="12.75">
      <c r="A448" s="20" t="s">
        <v>277</v>
      </c>
      <c r="B448" s="21">
        <v>717.1027200000002</v>
      </c>
      <c r="C448" s="65">
        <f t="shared" si="90"/>
        <v>788.8129920000002</v>
      </c>
      <c r="D448" s="66">
        <f t="shared" si="90"/>
        <v>867.6942912000003</v>
      </c>
      <c r="E448" s="66">
        <f t="shared" si="91"/>
        <v>954.4637203200004</v>
      </c>
      <c r="F448" s="43">
        <f t="shared" si="92"/>
        <v>0.10000000000000014</v>
      </c>
      <c r="G448" s="112">
        <v>1123.4037988166408</v>
      </c>
      <c r="H448" s="66">
        <f t="shared" si="100"/>
        <v>1190.8080267456394</v>
      </c>
      <c r="I448" s="271">
        <f t="shared" si="93"/>
        <v>1262.2565083503778</v>
      </c>
      <c r="J448" s="271">
        <f t="shared" si="94"/>
        <v>1337.9918988514005</v>
      </c>
      <c r="K448" s="271">
        <f t="shared" si="95"/>
        <v>1418.2714127824845</v>
      </c>
      <c r="L448" s="271">
        <f t="shared" si="96"/>
        <v>1503.3676975494336</v>
      </c>
      <c r="M448" s="832">
        <f t="shared" si="97"/>
        <v>0.06</v>
      </c>
      <c r="O448" s="271">
        <f t="shared" si="98"/>
        <v>1593.5697594023995</v>
      </c>
      <c r="P448" s="271">
        <f t="shared" si="99"/>
        <v>1689.1839449665435</v>
      </c>
    </row>
    <row r="449" spans="1:16" ht="12.75">
      <c r="A449" s="20" t="s">
        <v>469</v>
      </c>
      <c r="B449" s="21">
        <v>550</v>
      </c>
      <c r="C449" s="65">
        <f t="shared" si="90"/>
        <v>605</v>
      </c>
      <c r="D449" s="66">
        <f t="shared" si="90"/>
        <v>665.5</v>
      </c>
      <c r="E449" s="66">
        <f t="shared" si="91"/>
        <v>732.0500000000001</v>
      </c>
      <c r="F449" s="43">
        <f t="shared" si="92"/>
        <v>0.1000000000000001</v>
      </c>
      <c r="G449" s="112">
        <v>861.6228500000002</v>
      </c>
      <c r="H449" s="112">
        <f t="shared" si="100"/>
        <v>913.3202210000003</v>
      </c>
      <c r="I449" s="271">
        <f t="shared" si="93"/>
        <v>968.1194342600004</v>
      </c>
      <c r="J449" s="271">
        <f t="shared" si="94"/>
        <v>1026.2066003156003</v>
      </c>
      <c r="K449" s="271">
        <f t="shared" si="95"/>
        <v>1087.7789963345363</v>
      </c>
      <c r="L449" s="271">
        <f t="shared" si="96"/>
        <v>1153.0457361146084</v>
      </c>
      <c r="M449" s="832">
        <f t="shared" si="97"/>
        <v>0.06</v>
      </c>
      <c r="O449" s="271">
        <f t="shared" si="98"/>
        <v>1222.228480281485</v>
      </c>
      <c r="P449" s="271">
        <f aca="true" t="shared" si="101" ref="P449:P454">(O449*$P$7)+O449</f>
        <v>1295.5621890983741</v>
      </c>
    </row>
    <row r="450" spans="1:16" ht="12.75">
      <c r="A450" s="20" t="s">
        <v>470</v>
      </c>
      <c r="B450" s="21">
        <v>550</v>
      </c>
      <c r="C450" s="65">
        <f t="shared" si="90"/>
        <v>605</v>
      </c>
      <c r="D450" s="66">
        <f t="shared" si="90"/>
        <v>665.5</v>
      </c>
      <c r="E450" s="66">
        <f t="shared" si="91"/>
        <v>732.0500000000001</v>
      </c>
      <c r="F450" s="43">
        <f t="shared" si="92"/>
        <v>0.1000000000000001</v>
      </c>
      <c r="G450" s="112">
        <v>861.6228500000002</v>
      </c>
      <c r="H450" s="112">
        <f t="shared" si="100"/>
        <v>913.3202210000003</v>
      </c>
      <c r="I450" s="271">
        <f t="shared" si="93"/>
        <v>968.1194342600004</v>
      </c>
      <c r="J450" s="271">
        <f t="shared" si="94"/>
        <v>1026.2066003156003</v>
      </c>
      <c r="K450" s="271">
        <f t="shared" si="95"/>
        <v>1087.7789963345363</v>
      </c>
      <c r="L450" s="271">
        <f t="shared" si="96"/>
        <v>1153.0457361146084</v>
      </c>
      <c r="M450" s="832">
        <f t="shared" si="97"/>
        <v>0.06</v>
      </c>
      <c r="O450" s="271">
        <f t="shared" si="98"/>
        <v>1222.228480281485</v>
      </c>
      <c r="P450" s="271">
        <f t="shared" si="101"/>
        <v>1295.5621890983741</v>
      </c>
    </row>
    <row r="451" spans="1:16" ht="12.75">
      <c r="A451" s="20" t="s">
        <v>471</v>
      </c>
      <c r="B451" s="21">
        <v>550</v>
      </c>
      <c r="C451" s="65">
        <f t="shared" si="90"/>
        <v>605</v>
      </c>
      <c r="D451" s="66">
        <f t="shared" si="90"/>
        <v>665.5</v>
      </c>
      <c r="E451" s="66">
        <f t="shared" si="91"/>
        <v>732.0500000000001</v>
      </c>
      <c r="F451" s="43">
        <f t="shared" si="92"/>
        <v>0.1000000000000001</v>
      </c>
      <c r="G451" s="112">
        <v>861.6228500000002</v>
      </c>
      <c r="H451" s="112">
        <f t="shared" si="100"/>
        <v>913.3202210000003</v>
      </c>
      <c r="I451" s="271">
        <f t="shared" si="93"/>
        <v>968.1194342600004</v>
      </c>
      <c r="J451" s="271">
        <f t="shared" si="94"/>
        <v>1026.2066003156003</v>
      </c>
      <c r="K451" s="271">
        <f t="shared" si="95"/>
        <v>1087.7789963345363</v>
      </c>
      <c r="L451" s="271">
        <f t="shared" si="96"/>
        <v>1153.0457361146084</v>
      </c>
      <c r="M451" s="832">
        <f t="shared" si="97"/>
        <v>0.06</v>
      </c>
      <c r="O451" s="271">
        <f t="shared" si="98"/>
        <v>1222.228480281485</v>
      </c>
      <c r="P451" s="271">
        <f t="shared" si="101"/>
        <v>1295.5621890983741</v>
      </c>
    </row>
    <row r="452" spans="1:16" ht="12.75">
      <c r="A452" s="20" t="s">
        <v>472</v>
      </c>
      <c r="B452" s="21">
        <v>550</v>
      </c>
      <c r="C452" s="65">
        <f t="shared" si="90"/>
        <v>605</v>
      </c>
      <c r="D452" s="66">
        <f t="shared" si="90"/>
        <v>665.5</v>
      </c>
      <c r="E452" s="66">
        <f t="shared" si="91"/>
        <v>732.0500000000001</v>
      </c>
      <c r="F452" s="43">
        <f t="shared" si="92"/>
        <v>0.1000000000000001</v>
      </c>
      <c r="G452" s="112">
        <v>861.6228500000002</v>
      </c>
      <c r="H452" s="112">
        <f t="shared" si="100"/>
        <v>913.3202210000003</v>
      </c>
      <c r="I452" s="271">
        <f t="shared" si="93"/>
        <v>968.1194342600004</v>
      </c>
      <c r="J452" s="271">
        <f t="shared" si="94"/>
        <v>1026.2066003156003</v>
      </c>
      <c r="K452" s="271">
        <f t="shared" si="95"/>
        <v>1087.7789963345363</v>
      </c>
      <c r="L452" s="271">
        <f t="shared" si="96"/>
        <v>1153.0457361146084</v>
      </c>
      <c r="M452" s="832">
        <f t="shared" si="97"/>
        <v>0.06</v>
      </c>
      <c r="O452" s="271">
        <f t="shared" si="98"/>
        <v>1222.228480281485</v>
      </c>
      <c r="P452" s="271">
        <f t="shared" si="101"/>
        <v>1295.5621890983741</v>
      </c>
    </row>
    <row r="453" spans="1:16" ht="12.75">
      <c r="A453" s="20" t="s">
        <v>473</v>
      </c>
      <c r="B453" s="21">
        <v>550</v>
      </c>
      <c r="C453" s="65">
        <f t="shared" si="90"/>
        <v>605</v>
      </c>
      <c r="D453" s="66">
        <f t="shared" si="90"/>
        <v>665.5</v>
      </c>
      <c r="E453" s="66">
        <f t="shared" si="91"/>
        <v>732.0500000000001</v>
      </c>
      <c r="F453" s="43">
        <f t="shared" si="92"/>
        <v>0.1000000000000001</v>
      </c>
      <c r="G453" s="112">
        <v>861.6228500000002</v>
      </c>
      <c r="H453" s="112">
        <f t="shared" si="100"/>
        <v>913.3202210000003</v>
      </c>
      <c r="I453" s="271">
        <f t="shared" si="93"/>
        <v>968.1194342600004</v>
      </c>
      <c r="J453" s="271">
        <f t="shared" si="94"/>
        <v>1026.2066003156003</v>
      </c>
      <c r="K453" s="271">
        <f t="shared" si="95"/>
        <v>1087.7789963345363</v>
      </c>
      <c r="L453" s="271">
        <f t="shared" si="96"/>
        <v>1153.0457361146084</v>
      </c>
      <c r="M453" s="832">
        <f t="shared" si="97"/>
        <v>0.06</v>
      </c>
      <c r="O453" s="271">
        <f t="shared" si="98"/>
        <v>1222.228480281485</v>
      </c>
      <c r="P453" s="271">
        <f t="shared" si="101"/>
        <v>1295.5621890983741</v>
      </c>
    </row>
    <row r="454" spans="1:16" ht="12.75">
      <c r="A454" s="20" t="s">
        <v>474</v>
      </c>
      <c r="B454" s="21">
        <v>550</v>
      </c>
      <c r="C454" s="65">
        <f t="shared" si="90"/>
        <v>605</v>
      </c>
      <c r="D454" s="66">
        <f t="shared" si="90"/>
        <v>665.5</v>
      </c>
      <c r="E454" s="66">
        <f t="shared" si="91"/>
        <v>732.0500000000001</v>
      </c>
      <c r="F454" s="43">
        <f t="shared" si="92"/>
        <v>0.1000000000000001</v>
      </c>
      <c r="G454" s="112">
        <v>861.6228500000002</v>
      </c>
      <c r="H454" s="112">
        <f t="shared" si="100"/>
        <v>913.3202210000003</v>
      </c>
      <c r="I454" s="271">
        <f t="shared" si="93"/>
        <v>968.1194342600004</v>
      </c>
      <c r="J454" s="271">
        <f t="shared" si="94"/>
        <v>1026.2066003156003</v>
      </c>
      <c r="K454" s="271">
        <f t="shared" si="95"/>
        <v>1087.7789963345363</v>
      </c>
      <c r="L454" s="271">
        <f t="shared" si="96"/>
        <v>1153.0457361146084</v>
      </c>
      <c r="M454" s="832">
        <f t="shared" si="97"/>
        <v>0.06</v>
      </c>
      <c r="O454" s="271">
        <f t="shared" si="98"/>
        <v>1222.228480281485</v>
      </c>
      <c r="P454" s="271">
        <f t="shared" si="101"/>
        <v>1295.5621890983741</v>
      </c>
    </row>
    <row r="455" spans="2:15" ht="12.75">
      <c r="B455" s="21"/>
      <c r="C455" s="65"/>
      <c r="D455" s="66"/>
      <c r="E455" s="66"/>
      <c r="F455" s="43"/>
      <c r="G455" s="112"/>
      <c r="H455" s="112"/>
      <c r="I455" s="271"/>
      <c r="J455" s="271"/>
      <c r="K455" s="271"/>
      <c r="L455" s="271"/>
      <c r="M455" s="832"/>
      <c r="O455" s="271"/>
    </row>
    <row r="456" spans="1:15" s="54" customFormat="1" ht="12.75">
      <c r="A456" s="14" t="s">
        <v>814</v>
      </c>
      <c r="B456" s="954"/>
      <c r="C456" s="954"/>
      <c r="D456" s="954"/>
      <c r="E456" s="954"/>
      <c r="H456" s="112"/>
      <c r="I456" s="271"/>
      <c r="J456" s="271"/>
      <c r="K456" s="271"/>
      <c r="L456" s="271"/>
      <c r="M456" s="832"/>
      <c r="O456" s="271"/>
    </row>
    <row r="457" spans="1:17" s="833" customFormat="1" ht="14.25">
      <c r="A457" s="833" t="s">
        <v>815</v>
      </c>
      <c r="B457" s="834">
        <v>0</v>
      </c>
      <c r="C457" s="835">
        <v>0</v>
      </c>
      <c r="D457" s="836">
        <v>0</v>
      </c>
      <c r="E457" s="836">
        <v>0</v>
      </c>
      <c r="F457" s="837">
        <v>0</v>
      </c>
      <c r="G457" s="837">
        <v>0</v>
      </c>
      <c r="H457" s="838">
        <v>0</v>
      </c>
      <c r="I457" s="839">
        <v>0</v>
      </c>
      <c r="J457" s="839">
        <v>0</v>
      </c>
      <c r="K457" s="839">
        <v>0</v>
      </c>
      <c r="L457" s="839">
        <v>0</v>
      </c>
      <c r="M457" s="840">
        <v>0</v>
      </c>
      <c r="N457" s="837">
        <v>0</v>
      </c>
      <c r="O457" s="839">
        <v>0</v>
      </c>
      <c r="P457" s="837">
        <v>0</v>
      </c>
      <c r="Q457" s="837">
        <v>0</v>
      </c>
    </row>
    <row r="458" spans="1:17" s="833" customFormat="1" ht="14.25">
      <c r="A458" s="833" t="s">
        <v>816</v>
      </c>
      <c r="B458" s="834">
        <v>0</v>
      </c>
      <c r="C458" s="835">
        <v>0</v>
      </c>
      <c r="D458" s="836">
        <v>0</v>
      </c>
      <c r="E458" s="836">
        <v>0</v>
      </c>
      <c r="F458" s="837">
        <v>0</v>
      </c>
      <c r="G458" s="837">
        <v>0</v>
      </c>
      <c r="H458" s="838">
        <v>0</v>
      </c>
      <c r="I458" s="839">
        <v>0</v>
      </c>
      <c r="J458" s="839">
        <v>0</v>
      </c>
      <c r="K458" s="839">
        <v>0</v>
      </c>
      <c r="L458" s="839">
        <v>0</v>
      </c>
      <c r="M458" s="840">
        <v>0</v>
      </c>
      <c r="N458" s="837">
        <v>0</v>
      </c>
      <c r="O458" s="839">
        <v>0</v>
      </c>
      <c r="P458" s="837">
        <v>0</v>
      </c>
      <c r="Q458" s="837">
        <v>0</v>
      </c>
    </row>
    <row r="459" spans="1:16" s="54" customFormat="1" ht="14.25">
      <c r="A459" s="54" t="s">
        <v>817</v>
      </c>
      <c r="B459" s="955">
        <v>0</v>
      </c>
      <c r="C459" s="956">
        <v>2500</v>
      </c>
      <c r="D459" s="23">
        <f>C459*1.07</f>
        <v>2675</v>
      </c>
      <c r="E459" s="111">
        <f>SUM(D459-C459)/C459</f>
        <v>0.07</v>
      </c>
      <c r="F459" s="54" t="s">
        <v>740</v>
      </c>
      <c r="G459" s="304">
        <v>2675</v>
      </c>
      <c r="H459" s="66">
        <f aca="true" t="shared" si="102" ref="H459:I462">G459*1.06</f>
        <v>2835.5</v>
      </c>
      <c r="I459" s="271">
        <f t="shared" si="102"/>
        <v>3005.63</v>
      </c>
      <c r="J459" s="271">
        <f aca="true" t="shared" si="103" ref="J459:K462">(I459*$M$12)+I459</f>
        <v>3185.9678</v>
      </c>
      <c r="K459" s="271">
        <f t="shared" si="103"/>
        <v>3377.125868</v>
      </c>
      <c r="L459" s="271">
        <f>(K459*M459)+K459</f>
        <v>3579.75342008</v>
      </c>
      <c r="M459" s="832">
        <f>$M$7</f>
        <v>0.06</v>
      </c>
      <c r="O459" s="271">
        <f>(L459*$O$7)+L459</f>
        <v>3794.5386252848</v>
      </c>
      <c r="P459" s="271">
        <f>(O459*$P$7)+O459</f>
        <v>4022.2109428018885</v>
      </c>
    </row>
    <row r="460" spans="1:16" s="54" customFormat="1" ht="14.25">
      <c r="A460" s="54" t="s">
        <v>818</v>
      </c>
      <c r="B460" s="955">
        <v>0</v>
      </c>
      <c r="C460" s="956">
        <v>2500</v>
      </c>
      <c r="D460" s="23">
        <f>C460*1.07</f>
        <v>2675</v>
      </c>
      <c r="E460" s="111">
        <f>SUM(D460-C460)/C460</f>
        <v>0.07</v>
      </c>
      <c r="F460" s="54" t="s">
        <v>740</v>
      </c>
      <c r="G460" s="304">
        <v>2675</v>
      </c>
      <c r="H460" s="66">
        <f t="shared" si="102"/>
        <v>2835.5</v>
      </c>
      <c r="I460" s="271">
        <f t="shared" si="102"/>
        <v>3005.63</v>
      </c>
      <c r="J460" s="271">
        <f t="shared" si="103"/>
        <v>3185.9678</v>
      </c>
      <c r="K460" s="271">
        <f t="shared" si="103"/>
        <v>3377.125868</v>
      </c>
      <c r="L460" s="271">
        <f>(K460*M460)+K460</f>
        <v>3579.75342008</v>
      </c>
      <c r="M460" s="832">
        <f>$M$7</f>
        <v>0.06</v>
      </c>
      <c r="O460" s="271">
        <f>(L460*$O$7)+L460</f>
        <v>3794.5386252848</v>
      </c>
      <c r="P460" s="271">
        <f>(O460*$P$7)+O460</f>
        <v>4022.2109428018885</v>
      </c>
    </row>
    <row r="461" spans="1:16" s="54" customFormat="1" ht="14.25">
      <c r="A461" s="54" t="s">
        <v>819</v>
      </c>
      <c r="B461" s="955">
        <v>0</v>
      </c>
      <c r="C461" s="956">
        <v>2500</v>
      </c>
      <c r="D461" s="23">
        <f>C461*1.07</f>
        <v>2675</v>
      </c>
      <c r="E461" s="111">
        <f>SUM(D461-C461)/C461</f>
        <v>0.07</v>
      </c>
      <c r="F461" s="54" t="s">
        <v>740</v>
      </c>
      <c r="G461" s="304">
        <v>2675</v>
      </c>
      <c r="H461" s="66">
        <f t="shared" si="102"/>
        <v>2835.5</v>
      </c>
      <c r="I461" s="271">
        <f t="shared" si="102"/>
        <v>3005.63</v>
      </c>
      <c r="J461" s="271">
        <f t="shared" si="103"/>
        <v>3185.9678</v>
      </c>
      <c r="K461" s="271">
        <f t="shared" si="103"/>
        <v>3377.125868</v>
      </c>
      <c r="L461" s="271">
        <f>(K461*M461)+K461</f>
        <v>3579.75342008</v>
      </c>
      <c r="M461" s="832">
        <f>$M$7</f>
        <v>0.06</v>
      </c>
      <c r="O461" s="271">
        <f>(L461*$O$7)+L461</f>
        <v>3794.5386252848</v>
      </c>
      <c r="P461" s="271">
        <f>(O461*$P$7)+O461</f>
        <v>4022.2109428018885</v>
      </c>
    </row>
    <row r="462" spans="1:16" s="54" customFormat="1" ht="14.25">
      <c r="A462" s="54" t="s">
        <v>820</v>
      </c>
      <c r="B462" s="955">
        <v>0</v>
      </c>
      <c r="C462" s="956">
        <v>2500</v>
      </c>
      <c r="D462" s="23">
        <f>C462*1.07</f>
        <v>2675</v>
      </c>
      <c r="E462" s="111">
        <f>SUM(D462-C462)/C462</f>
        <v>0.07</v>
      </c>
      <c r="F462" s="54" t="s">
        <v>740</v>
      </c>
      <c r="G462" s="304">
        <v>2675</v>
      </c>
      <c r="H462" s="66">
        <f t="shared" si="102"/>
        <v>2835.5</v>
      </c>
      <c r="I462" s="271">
        <f t="shared" si="102"/>
        <v>3005.63</v>
      </c>
      <c r="J462" s="271">
        <f t="shared" si="103"/>
        <v>3185.9678</v>
      </c>
      <c r="K462" s="271">
        <f t="shared" si="103"/>
        <v>3377.125868</v>
      </c>
      <c r="L462" s="271">
        <f>(K462*M462)+K462</f>
        <v>3579.75342008</v>
      </c>
      <c r="M462" s="832">
        <f>$M$7</f>
        <v>0.06</v>
      </c>
      <c r="O462" s="271">
        <f>(L462*$O$7)+L462</f>
        <v>3794.5386252848</v>
      </c>
      <c r="P462" s="271">
        <f>(O462*$P$7)+O462</f>
        <v>4022.2109428018885</v>
      </c>
    </row>
    <row r="463" spans="2:15" s="54" customFormat="1" ht="12.75">
      <c r="B463" s="954"/>
      <c r="C463" s="957"/>
      <c r="D463" s="957"/>
      <c r="E463" s="957"/>
      <c r="H463" s="112"/>
      <c r="I463" s="271"/>
      <c r="J463" s="271"/>
      <c r="K463" s="271"/>
      <c r="L463" s="271"/>
      <c r="M463" s="832"/>
      <c r="O463" s="271"/>
    </row>
    <row r="464" spans="1:15" s="54" customFormat="1" ht="12.75">
      <c r="A464" s="14" t="s">
        <v>821</v>
      </c>
      <c r="B464" s="954">
        <v>0</v>
      </c>
      <c r="C464" s="957"/>
      <c r="D464" s="957"/>
      <c r="E464" s="957"/>
      <c r="H464" s="112"/>
      <c r="I464" s="271"/>
      <c r="J464" s="271"/>
      <c r="K464" s="271"/>
      <c r="L464" s="271"/>
      <c r="M464" s="832"/>
      <c r="O464" s="271"/>
    </row>
    <row r="465" spans="1:16" s="54" customFormat="1" ht="14.25">
      <c r="A465" s="54" t="s">
        <v>822</v>
      </c>
      <c r="B465" s="955">
        <v>0</v>
      </c>
      <c r="C465" s="956">
        <v>740</v>
      </c>
      <c r="D465" s="23">
        <f aca="true" t="shared" si="104" ref="D465:D470">C465*1.07</f>
        <v>791.8000000000001</v>
      </c>
      <c r="E465" s="111">
        <f aca="true" t="shared" si="105" ref="E465:E470">SUM(D465-C465)/C465</f>
        <v>0.07000000000000009</v>
      </c>
      <c r="F465" s="54" t="s">
        <v>740</v>
      </c>
      <c r="G465" s="304">
        <v>791.8000000000001</v>
      </c>
      <c r="H465" s="112">
        <f aca="true" t="shared" si="106" ref="H465:I470">G465*1.06</f>
        <v>839.3080000000001</v>
      </c>
      <c r="I465" s="271">
        <f t="shared" si="106"/>
        <v>889.6664800000002</v>
      </c>
      <c r="J465" s="271">
        <f aca="true" t="shared" si="107" ref="J465:J470">(I465*$M$12)+I465</f>
        <v>943.0464688000002</v>
      </c>
      <c r="K465" s="271">
        <f aca="true" t="shared" si="108" ref="K465:K470">(J465*$M$12)+J465</f>
        <v>999.6292569280002</v>
      </c>
      <c r="L465" s="271">
        <f aca="true" t="shared" si="109" ref="L465:L470">(K465*M465)+K465</f>
        <v>1059.6070123436803</v>
      </c>
      <c r="M465" s="832">
        <f aca="true" t="shared" si="110" ref="M465:M470">$M$7</f>
        <v>0.06</v>
      </c>
      <c r="O465" s="271">
        <f aca="true" t="shared" si="111" ref="O465:O470">(L465*$O$7)+L465</f>
        <v>1123.183433084301</v>
      </c>
      <c r="P465" s="271">
        <f aca="true" t="shared" si="112" ref="P465:P470">(O465*$P$7)+O465</f>
        <v>1190.574439069359</v>
      </c>
    </row>
    <row r="466" spans="1:16" s="54" customFormat="1" ht="14.25">
      <c r="A466" s="54" t="s">
        <v>823</v>
      </c>
      <c r="B466" s="955">
        <v>0</v>
      </c>
      <c r="C466" s="956">
        <v>740</v>
      </c>
      <c r="D466" s="23">
        <f t="shared" si="104"/>
        <v>791.8000000000001</v>
      </c>
      <c r="E466" s="111">
        <f t="shared" si="105"/>
        <v>0.07000000000000009</v>
      </c>
      <c r="F466" s="54" t="s">
        <v>740</v>
      </c>
      <c r="G466" s="304">
        <v>791.8000000000001</v>
      </c>
      <c r="H466" s="112">
        <f t="shared" si="106"/>
        <v>839.3080000000001</v>
      </c>
      <c r="I466" s="271">
        <f t="shared" si="106"/>
        <v>889.6664800000002</v>
      </c>
      <c r="J466" s="271">
        <f t="shared" si="107"/>
        <v>943.0464688000002</v>
      </c>
      <c r="K466" s="271">
        <f t="shared" si="108"/>
        <v>999.6292569280002</v>
      </c>
      <c r="L466" s="271">
        <f t="shared" si="109"/>
        <v>1059.6070123436803</v>
      </c>
      <c r="M466" s="832">
        <f t="shared" si="110"/>
        <v>0.06</v>
      </c>
      <c r="O466" s="271">
        <f t="shared" si="111"/>
        <v>1123.183433084301</v>
      </c>
      <c r="P466" s="271">
        <f t="shared" si="112"/>
        <v>1190.574439069359</v>
      </c>
    </row>
    <row r="467" spans="1:16" s="54" customFormat="1" ht="14.25">
      <c r="A467" s="54" t="s">
        <v>817</v>
      </c>
      <c r="B467" s="955">
        <v>0</v>
      </c>
      <c r="C467" s="956">
        <v>2100</v>
      </c>
      <c r="D467" s="23">
        <f t="shared" si="104"/>
        <v>2247</v>
      </c>
      <c r="E467" s="111">
        <f t="shared" si="105"/>
        <v>0.07</v>
      </c>
      <c r="F467" s="54" t="s">
        <v>740</v>
      </c>
      <c r="G467" s="304">
        <v>2247</v>
      </c>
      <c r="H467" s="112">
        <f t="shared" si="106"/>
        <v>2381.82</v>
      </c>
      <c r="I467" s="271">
        <f t="shared" si="106"/>
        <v>2524.7292</v>
      </c>
      <c r="J467" s="271">
        <f t="shared" si="107"/>
        <v>2676.2129520000003</v>
      </c>
      <c r="K467" s="271">
        <f t="shared" si="108"/>
        <v>2836.7857291200003</v>
      </c>
      <c r="L467" s="271">
        <f t="shared" si="109"/>
        <v>3006.9928728672003</v>
      </c>
      <c r="M467" s="832">
        <f t="shared" si="110"/>
        <v>0.06</v>
      </c>
      <c r="O467" s="271">
        <f t="shared" si="111"/>
        <v>3187.4124452392325</v>
      </c>
      <c r="P467" s="271">
        <f t="shared" si="112"/>
        <v>3378.6571919535863</v>
      </c>
    </row>
    <row r="468" spans="1:16" s="54" customFormat="1" ht="14.25">
      <c r="A468" s="54" t="s">
        <v>818</v>
      </c>
      <c r="B468" s="955">
        <v>0</v>
      </c>
      <c r="C468" s="956">
        <v>2100</v>
      </c>
      <c r="D468" s="23">
        <f t="shared" si="104"/>
        <v>2247</v>
      </c>
      <c r="E468" s="111">
        <f t="shared" si="105"/>
        <v>0.07</v>
      </c>
      <c r="F468" s="54" t="s">
        <v>740</v>
      </c>
      <c r="G468" s="304">
        <v>2247</v>
      </c>
      <c r="H468" s="112">
        <f t="shared" si="106"/>
        <v>2381.82</v>
      </c>
      <c r="I468" s="271">
        <f t="shared" si="106"/>
        <v>2524.7292</v>
      </c>
      <c r="J468" s="271">
        <f t="shared" si="107"/>
        <v>2676.2129520000003</v>
      </c>
      <c r="K468" s="271">
        <f t="shared" si="108"/>
        <v>2836.7857291200003</v>
      </c>
      <c r="L468" s="271">
        <f t="shared" si="109"/>
        <v>3006.9928728672003</v>
      </c>
      <c r="M468" s="832">
        <f t="shared" si="110"/>
        <v>0.06</v>
      </c>
      <c r="O468" s="271">
        <f t="shared" si="111"/>
        <v>3187.4124452392325</v>
      </c>
      <c r="P468" s="271">
        <f t="shared" si="112"/>
        <v>3378.6571919535863</v>
      </c>
    </row>
    <row r="469" spans="1:16" s="54" customFormat="1" ht="14.25">
      <c r="A469" s="54" t="s">
        <v>819</v>
      </c>
      <c r="B469" s="955">
        <v>0</v>
      </c>
      <c r="C469" s="956">
        <v>2100</v>
      </c>
      <c r="D469" s="23">
        <f t="shared" si="104"/>
        <v>2247</v>
      </c>
      <c r="E469" s="111">
        <f t="shared" si="105"/>
        <v>0.07</v>
      </c>
      <c r="F469" s="54" t="s">
        <v>740</v>
      </c>
      <c r="G469" s="304">
        <v>2247</v>
      </c>
      <c r="H469" s="112">
        <f t="shared" si="106"/>
        <v>2381.82</v>
      </c>
      <c r="I469" s="271">
        <f t="shared" si="106"/>
        <v>2524.7292</v>
      </c>
      <c r="J469" s="271">
        <f t="shared" si="107"/>
        <v>2676.2129520000003</v>
      </c>
      <c r="K469" s="271">
        <f t="shared" si="108"/>
        <v>2836.7857291200003</v>
      </c>
      <c r="L469" s="271">
        <f t="shared" si="109"/>
        <v>3006.9928728672003</v>
      </c>
      <c r="M469" s="832">
        <f t="shared" si="110"/>
        <v>0.06</v>
      </c>
      <c r="O469" s="271">
        <f t="shared" si="111"/>
        <v>3187.4124452392325</v>
      </c>
      <c r="P469" s="271">
        <f t="shared" si="112"/>
        <v>3378.6571919535863</v>
      </c>
    </row>
    <row r="470" spans="1:16" s="54" customFormat="1" ht="14.25">
      <c r="A470" s="54" t="s">
        <v>820</v>
      </c>
      <c r="B470" s="955">
        <v>0</v>
      </c>
      <c r="C470" s="956">
        <v>2100</v>
      </c>
      <c r="D470" s="23">
        <f t="shared" si="104"/>
        <v>2247</v>
      </c>
      <c r="E470" s="111">
        <f t="shared" si="105"/>
        <v>0.07</v>
      </c>
      <c r="F470" s="54" t="s">
        <v>740</v>
      </c>
      <c r="G470" s="304">
        <v>2247</v>
      </c>
      <c r="H470" s="112">
        <f t="shared" si="106"/>
        <v>2381.82</v>
      </c>
      <c r="I470" s="271">
        <f t="shared" si="106"/>
        <v>2524.7292</v>
      </c>
      <c r="J470" s="271">
        <f t="shared" si="107"/>
        <v>2676.2129520000003</v>
      </c>
      <c r="K470" s="271">
        <f t="shared" si="108"/>
        <v>2836.7857291200003</v>
      </c>
      <c r="L470" s="271">
        <f t="shared" si="109"/>
        <v>3006.9928728672003</v>
      </c>
      <c r="M470" s="832">
        <f t="shared" si="110"/>
        <v>0.06</v>
      </c>
      <c r="O470" s="271">
        <f t="shared" si="111"/>
        <v>3187.4124452392325</v>
      </c>
      <c r="P470" s="271">
        <f t="shared" si="112"/>
        <v>3378.6571919535863</v>
      </c>
    </row>
    <row r="471" spans="4:15" ht="12.75">
      <c r="D471" s="66"/>
      <c r="E471" s="66"/>
      <c r="H471" s="23"/>
      <c r="I471" s="271"/>
      <c r="J471" s="271"/>
      <c r="K471" s="271"/>
      <c r="L471" s="271"/>
      <c r="M471" s="832"/>
      <c r="O471" s="271"/>
    </row>
    <row r="472" spans="1:15" s="22" customFormat="1" ht="12.75">
      <c r="A472" s="22" t="s">
        <v>136</v>
      </c>
      <c r="C472" s="69"/>
      <c r="D472" s="66"/>
      <c r="E472" s="66"/>
      <c r="G472" s="102"/>
      <c r="H472" s="23"/>
      <c r="I472" s="271"/>
      <c r="J472" s="271"/>
      <c r="K472" s="271"/>
      <c r="L472" s="271"/>
      <c r="M472" s="832"/>
      <c r="O472" s="271"/>
    </row>
    <row r="473" spans="1:16" s="22" customFormat="1" ht="12.75">
      <c r="A473" s="20" t="s">
        <v>542</v>
      </c>
      <c r="C473" s="69"/>
      <c r="D473" s="21">
        <v>190</v>
      </c>
      <c r="E473" s="66">
        <f>D473*1.1</f>
        <v>209.00000000000003</v>
      </c>
      <c r="F473" s="43">
        <f>(E473-D473)/D473</f>
        <v>0.10000000000000014</v>
      </c>
      <c r="G473" s="112">
        <v>241.52040000000008</v>
      </c>
      <c r="H473" s="112">
        <f>G473*1.06</f>
        <v>256.0116240000001</v>
      </c>
      <c r="I473" s="271">
        <f>H473*1.06</f>
        <v>271.3723214400001</v>
      </c>
      <c r="J473" s="271">
        <f>(I473*$M$12)+I473</f>
        <v>287.65466072640015</v>
      </c>
      <c r="K473" s="271">
        <f>(J473*$M$12)+J473</f>
        <v>304.9139403699842</v>
      </c>
      <c r="L473" s="271">
        <f>(K473*M473)+K473</f>
        <v>323.20877679218324</v>
      </c>
      <c r="M473" s="832">
        <f>$M$7</f>
        <v>0.06</v>
      </c>
      <c r="O473" s="271">
        <f>(L473*$O$7)+L473</f>
        <v>342.60130339971425</v>
      </c>
      <c r="P473" s="271">
        <f>(O473*$P$7)+O473</f>
        <v>363.1573816036971</v>
      </c>
    </row>
    <row r="474" spans="1:16" ht="12.75">
      <c r="A474" s="20" t="s">
        <v>543</v>
      </c>
      <c r="B474" s="21"/>
      <c r="C474" s="65">
        <v>14083.03</v>
      </c>
      <c r="D474" s="114" t="s">
        <v>544</v>
      </c>
      <c r="E474" s="114" t="s">
        <v>761</v>
      </c>
      <c r="F474" s="43">
        <v>0.1</v>
      </c>
      <c r="G474" s="102" t="s">
        <v>914</v>
      </c>
      <c r="H474" s="113" t="s">
        <v>930</v>
      </c>
      <c r="I474" s="270" t="s">
        <v>976</v>
      </c>
      <c r="J474" s="271" t="s">
        <v>1038</v>
      </c>
      <c r="K474" s="271" t="s">
        <v>1348</v>
      </c>
      <c r="L474" s="271" t="s">
        <v>1353</v>
      </c>
      <c r="M474" s="832">
        <f>$M$7</f>
        <v>0.06</v>
      </c>
      <c r="N474" s="20">
        <f>(23270*O7)+23270</f>
        <v>24666.2</v>
      </c>
      <c r="O474" s="271" t="s">
        <v>1359</v>
      </c>
      <c r="P474" s="66" t="s">
        <v>1365</v>
      </c>
    </row>
    <row r="475" spans="1:16" ht="12.75">
      <c r="A475" s="22" t="s">
        <v>137</v>
      </c>
      <c r="B475" s="21">
        <v>851.8685760000002</v>
      </c>
      <c r="C475" s="65"/>
      <c r="D475" s="66"/>
      <c r="E475" s="70"/>
      <c r="F475" s="43"/>
      <c r="H475" s="23"/>
      <c r="I475" s="271"/>
      <c r="J475" s="271"/>
      <c r="K475" s="271"/>
      <c r="L475" s="271"/>
      <c r="M475" s="958"/>
      <c r="O475" s="271"/>
      <c r="P475" s="66"/>
    </row>
    <row r="476" spans="1:16" ht="12.75">
      <c r="A476" s="20" t="s">
        <v>545</v>
      </c>
      <c r="B476" s="21"/>
      <c r="C476" s="65"/>
      <c r="D476" s="114" t="s">
        <v>547</v>
      </c>
      <c r="E476" s="114" t="s">
        <v>762</v>
      </c>
      <c r="F476" s="43">
        <v>0.1</v>
      </c>
      <c r="G476" s="102" t="s">
        <v>910</v>
      </c>
      <c r="H476" s="113" t="s">
        <v>931</v>
      </c>
      <c r="I476" s="270" t="s">
        <v>977</v>
      </c>
      <c r="J476" s="271" t="s">
        <v>1041</v>
      </c>
      <c r="K476" s="271" t="s">
        <v>1349</v>
      </c>
      <c r="L476" s="271" t="s">
        <v>1354</v>
      </c>
      <c r="M476" s="832">
        <f>$M$7</f>
        <v>0.06</v>
      </c>
      <c r="N476" s="20">
        <f>550*1.08</f>
        <v>594</v>
      </c>
      <c r="O476" s="271" t="s">
        <v>1360</v>
      </c>
      <c r="P476" s="66" t="s">
        <v>1366</v>
      </c>
    </row>
    <row r="477" spans="1:16" ht="12.75">
      <c r="A477" s="20" t="s">
        <v>546</v>
      </c>
      <c r="B477" s="21"/>
      <c r="C477" s="65"/>
      <c r="D477" s="114" t="s">
        <v>548</v>
      </c>
      <c r="E477" s="114" t="s">
        <v>763</v>
      </c>
      <c r="F477" s="43">
        <v>0.1</v>
      </c>
      <c r="G477" s="102" t="s">
        <v>911</v>
      </c>
      <c r="H477" s="113" t="s">
        <v>932</v>
      </c>
      <c r="I477" s="270" t="s">
        <v>980</v>
      </c>
      <c r="J477" s="271" t="s">
        <v>1042</v>
      </c>
      <c r="K477" s="271" t="s">
        <v>1350</v>
      </c>
      <c r="L477" s="271" t="s">
        <v>1355</v>
      </c>
      <c r="M477" s="832">
        <f>$M$7</f>
        <v>0.06</v>
      </c>
      <c r="N477" s="20">
        <f>1045*1.08</f>
        <v>1128.6000000000001</v>
      </c>
      <c r="O477" s="271" t="s">
        <v>1361</v>
      </c>
      <c r="P477" s="66" t="s">
        <v>1367</v>
      </c>
    </row>
    <row r="478" spans="1:16" ht="12.75">
      <c r="A478" s="20" t="s">
        <v>549</v>
      </c>
      <c r="B478" s="21"/>
      <c r="C478" s="65"/>
      <c r="D478" s="114"/>
      <c r="E478" s="71"/>
      <c r="F478" s="43"/>
      <c r="G478" s="102" t="s">
        <v>915</v>
      </c>
      <c r="H478" s="113" t="s">
        <v>933</v>
      </c>
      <c r="I478" s="270" t="s">
        <v>979</v>
      </c>
      <c r="J478" s="271" t="s">
        <v>1043</v>
      </c>
      <c r="K478" s="271" t="s">
        <v>1351</v>
      </c>
      <c r="L478" s="271" t="s">
        <v>1356</v>
      </c>
      <c r="M478" s="832">
        <f>$M$7</f>
        <v>0.06</v>
      </c>
      <c r="N478" s="20">
        <f>700</f>
        <v>700</v>
      </c>
      <c r="O478" s="271" t="s">
        <v>1362</v>
      </c>
      <c r="P478" s="66" t="s">
        <v>1368</v>
      </c>
    </row>
    <row r="479" spans="1:16" ht="12.75">
      <c r="A479" s="20" t="s">
        <v>550</v>
      </c>
      <c r="B479" s="21">
        <v>21.364715520000004</v>
      </c>
      <c r="C479" s="65">
        <f>B479*1.1</f>
        <v>23.501187072000008</v>
      </c>
      <c r="D479" s="114" t="s">
        <v>554</v>
      </c>
      <c r="E479" s="114" t="s">
        <v>764</v>
      </c>
      <c r="F479" s="43">
        <v>0.1</v>
      </c>
      <c r="G479" s="102" t="s">
        <v>912</v>
      </c>
      <c r="H479" s="243" t="s">
        <v>934</v>
      </c>
      <c r="I479" s="270" t="s">
        <v>978</v>
      </c>
      <c r="J479" s="271" t="s">
        <v>1045</v>
      </c>
      <c r="K479" s="271" t="s">
        <v>1352</v>
      </c>
      <c r="L479" s="271" t="s">
        <v>1357</v>
      </c>
      <c r="M479" s="832">
        <f>$M$7</f>
        <v>0.06</v>
      </c>
      <c r="N479" s="20">
        <f>22*1.08</f>
        <v>23.76</v>
      </c>
      <c r="O479" s="271" t="s">
        <v>1363</v>
      </c>
      <c r="P479" s="66" t="s">
        <v>1369</v>
      </c>
    </row>
    <row r="480" spans="1:16" ht="12.75">
      <c r="A480" s="20" t="s">
        <v>552</v>
      </c>
      <c r="B480" s="21">
        <v>24.764771520000007</v>
      </c>
      <c r="C480" s="65">
        <f>B480*1.1</f>
        <v>27.24124867200001</v>
      </c>
      <c r="D480" s="114" t="s">
        <v>553</v>
      </c>
      <c r="E480" s="114" t="s">
        <v>765</v>
      </c>
      <c r="F480" s="43">
        <v>0.1</v>
      </c>
      <c r="G480" s="102" t="s">
        <v>913</v>
      </c>
      <c r="H480" s="243" t="s">
        <v>935</v>
      </c>
      <c r="I480" s="270" t="s">
        <v>981</v>
      </c>
      <c r="J480" s="271" t="s">
        <v>1044</v>
      </c>
      <c r="K480" s="271" t="s">
        <v>1347</v>
      </c>
      <c r="L480" s="271" t="s">
        <v>1358</v>
      </c>
      <c r="M480" s="832">
        <f>$M$7</f>
        <v>0.06</v>
      </c>
      <c r="N480" s="20">
        <f>44*1.08</f>
        <v>47.52</v>
      </c>
      <c r="O480" s="271" t="s">
        <v>1364</v>
      </c>
      <c r="P480" s="66" t="s">
        <v>1370</v>
      </c>
    </row>
    <row r="481" spans="1:15" ht="38.25">
      <c r="A481" s="20" t="s">
        <v>940</v>
      </c>
      <c r="B481" s="21">
        <v>681.4948608000001</v>
      </c>
      <c r="C481" s="65">
        <f>B481*1.1</f>
        <v>749.6443468800002</v>
      </c>
      <c r="D481" s="67" t="s">
        <v>551</v>
      </c>
      <c r="E481" s="67" t="s">
        <v>551</v>
      </c>
      <c r="F481" s="43"/>
      <c r="G481" s="104" t="s">
        <v>939</v>
      </c>
      <c r="H481" s="244" t="s">
        <v>939</v>
      </c>
      <c r="I481" s="285" t="s">
        <v>939</v>
      </c>
      <c r="J481" s="286"/>
      <c r="K481" s="286"/>
      <c r="L481" s="271"/>
      <c r="M481" s="832"/>
      <c r="O481" s="271"/>
    </row>
    <row r="482" spans="1:15" ht="12.75">
      <c r="A482" s="22" t="s">
        <v>802</v>
      </c>
      <c r="B482" s="21"/>
      <c r="C482" s="65"/>
      <c r="D482" s="67"/>
      <c r="E482" s="67"/>
      <c r="F482" s="43"/>
      <c r="H482" s="23"/>
      <c r="I482" s="271"/>
      <c r="J482" s="271"/>
      <c r="K482" s="271"/>
      <c r="L482" s="271"/>
      <c r="M482" s="832"/>
      <c r="O482" s="271"/>
    </row>
    <row r="483" spans="1:16" ht="12.75">
      <c r="A483" s="20" t="s">
        <v>779</v>
      </c>
      <c r="B483" s="21"/>
      <c r="C483" s="65"/>
      <c r="D483" s="68">
        <v>2</v>
      </c>
      <c r="E483" s="68">
        <v>4</v>
      </c>
      <c r="F483" s="43">
        <v>0.1</v>
      </c>
      <c r="G483" s="112">
        <v>4.6224</v>
      </c>
      <c r="H483" s="112">
        <f aca="true" t="shared" si="113" ref="H483:I487">G483*1.06</f>
        <v>4.899744</v>
      </c>
      <c r="I483" s="271">
        <f t="shared" si="113"/>
        <v>5.193728640000001</v>
      </c>
      <c r="J483" s="271">
        <f aca="true" t="shared" si="114" ref="J483:K487">(I483*$M$12)+I483</f>
        <v>5.505352358400001</v>
      </c>
      <c r="K483" s="271">
        <f t="shared" si="114"/>
        <v>5.835673499904001</v>
      </c>
      <c r="L483" s="271">
        <f>(K483*M483)+K483</f>
        <v>6.185813909898241</v>
      </c>
      <c r="M483" s="832">
        <f>$M$7</f>
        <v>0.06</v>
      </c>
      <c r="O483" s="271">
        <f>(L483*$O$7)+L483</f>
        <v>6.556962744492135</v>
      </c>
      <c r="P483" s="271">
        <f>(O483*$P$7)+O483</f>
        <v>6.950380509161663</v>
      </c>
    </row>
    <row r="484" spans="1:16" ht="12.75">
      <c r="A484" s="20" t="s">
        <v>780</v>
      </c>
      <c r="B484" s="21"/>
      <c r="C484" s="65"/>
      <c r="D484" s="68">
        <v>1</v>
      </c>
      <c r="E484" s="68">
        <v>2</v>
      </c>
      <c r="F484" s="43">
        <v>0.1</v>
      </c>
      <c r="G484" s="112">
        <v>2.3112000000000004</v>
      </c>
      <c r="H484" s="112">
        <f t="shared" si="113"/>
        <v>2.4498720000000005</v>
      </c>
      <c r="I484" s="271">
        <f t="shared" si="113"/>
        <v>2.596864320000001</v>
      </c>
      <c r="J484" s="271">
        <f t="shared" si="114"/>
        <v>2.7526761792000007</v>
      </c>
      <c r="K484" s="271">
        <f t="shared" si="114"/>
        <v>2.917836749952001</v>
      </c>
      <c r="L484" s="271">
        <f>(K484*M484)+K484</f>
        <v>3.092906954949121</v>
      </c>
      <c r="M484" s="832">
        <f>$M$7</f>
        <v>0.06</v>
      </c>
      <c r="O484" s="271">
        <f>(L484*$O$7)+L484</f>
        <v>3.278481372246068</v>
      </c>
      <c r="P484" s="271">
        <f>(O484*$P$7)+O484</f>
        <v>3.475190254580832</v>
      </c>
    </row>
    <row r="485" spans="1:16" ht="12.75">
      <c r="A485" s="20" t="s">
        <v>782</v>
      </c>
      <c r="B485" s="21"/>
      <c r="C485" s="65"/>
      <c r="D485" s="68">
        <v>60</v>
      </c>
      <c r="E485" s="68">
        <v>120</v>
      </c>
      <c r="F485" s="43">
        <v>0.5</v>
      </c>
      <c r="G485" s="112">
        <v>138.67200000000003</v>
      </c>
      <c r="H485" s="112">
        <f t="shared" si="113"/>
        <v>146.99232000000003</v>
      </c>
      <c r="I485" s="271">
        <f t="shared" si="113"/>
        <v>155.81185920000004</v>
      </c>
      <c r="J485" s="271">
        <f t="shared" si="114"/>
        <v>165.16057075200004</v>
      </c>
      <c r="K485" s="271">
        <f t="shared" si="114"/>
        <v>175.07020499712004</v>
      </c>
      <c r="L485" s="271">
        <f>(K485*M485)+K485</f>
        <v>185.57441729694725</v>
      </c>
      <c r="M485" s="832">
        <f>$M$7</f>
        <v>0.06</v>
      </c>
      <c r="O485" s="271">
        <f>(L485*$O$7)+L485</f>
        <v>196.70888233476407</v>
      </c>
      <c r="P485" s="271">
        <f>(O485*$P$7)+O485</f>
        <v>208.51141527484992</v>
      </c>
    </row>
    <row r="486" spans="1:16" ht="12.75">
      <c r="A486" s="20" t="s">
        <v>783</v>
      </c>
      <c r="B486" s="21"/>
      <c r="C486" s="65"/>
      <c r="D486" s="68">
        <v>20</v>
      </c>
      <c r="E486" s="68">
        <v>40</v>
      </c>
      <c r="F486" s="43">
        <v>0.5</v>
      </c>
      <c r="G486" s="112">
        <v>46.224000000000004</v>
      </c>
      <c r="H486" s="112">
        <f t="shared" si="113"/>
        <v>48.997440000000005</v>
      </c>
      <c r="I486" s="271">
        <f t="shared" si="113"/>
        <v>51.937286400000005</v>
      </c>
      <c r="J486" s="271">
        <f t="shared" si="114"/>
        <v>55.053523584000004</v>
      </c>
      <c r="K486" s="271">
        <f t="shared" si="114"/>
        <v>58.35673499904001</v>
      </c>
      <c r="L486" s="271">
        <f>(K486*M486)+K486</f>
        <v>61.858139098982406</v>
      </c>
      <c r="M486" s="832">
        <f>$M$7</f>
        <v>0.06</v>
      </c>
      <c r="O486" s="271">
        <f>(L486*$O$7)+L486</f>
        <v>65.56962744492135</v>
      </c>
      <c r="P486" s="271">
        <f>(O486*$P$7)+O486</f>
        <v>69.50380509161663</v>
      </c>
    </row>
    <row r="487" spans="1:16" ht="12.75">
      <c r="A487" s="20" t="s">
        <v>784</v>
      </c>
      <c r="B487" s="21"/>
      <c r="C487" s="65"/>
      <c r="D487" s="68">
        <v>25</v>
      </c>
      <c r="E487" s="68">
        <v>50</v>
      </c>
      <c r="F487" s="43">
        <v>0.5</v>
      </c>
      <c r="G487" s="112">
        <v>57.78</v>
      </c>
      <c r="H487" s="112">
        <f t="shared" si="113"/>
        <v>61.24680000000001</v>
      </c>
      <c r="I487" s="271">
        <f t="shared" si="113"/>
        <v>64.921608</v>
      </c>
      <c r="J487" s="271">
        <f t="shared" si="114"/>
        <v>68.81690448</v>
      </c>
      <c r="K487" s="271">
        <f t="shared" si="114"/>
        <v>72.94591874880001</v>
      </c>
      <c r="L487" s="271">
        <f>(K487*M487)+K487</f>
        <v>77.32267387372801</v>
      </c>
      <c r="M487" s="832">
        <f>$M$7</f>
        <v>0.06</v>
      </c>
      <c r="O487" s="271">
        <f>(L487*$O$7)+L487</f>
        <v>81.9620343061517</v>
      </c>
      <c r="P487" s="271">
        <f>(O487*$P$7)+O487</f>
        <v>86.8797563645208</v>
      </c>
    </row>
    <row r="488" spans="1:15" ht="49.5" customHeight="1">
      <c r="A488" s="539" t="s">
        <v>1229</v>
      </c>
      <c r="B488" s="21"/>
      <c r="C488" s="65"/>
      <c r="D488" s="68"/>
      <c r="E488" s="68"/>
      <c r="F488" s="43"/>
      <c r="G488" s="112"/>
      <c r="H488" s="112"/>
      <c r="I488" s="271"/>
      <c r="J488" s="271"/>
      <c r="K488" s="271"/>
      <c r="L488" s="271"/>
      <c r="M488" s="832"/>
      <c r="O488" s="271"/>
    </row>
    <row r="489" spans="1:15" ht="25.5">
      <c r="A489" s="539" t="s">
        <v>1228</v>
      </c>
      <c r="B489" s="21"/>
      <c r="C489" s="65"/>
      <c r="D489" s="81"/>
      <c r="E489" s="70"/>
      <c r="F489" s="43"/>
      <c r="H489" s="23"/>
      <c r="I489" s="271"/>
      <c r="J489" s="271"/>
      <c r="K489" s="271"/>
      <c r="L489" s="271"/>
      <c r="M489" s="832"/>
      <c r="O489" s="271"/>
    </row>
    <row r="490" spans="1:15" ht="12.75">
      <c r="A490" s="535"/>
      <c r="B490" s="21"/>
      <c r="C490" s="65"/>
      <c r="D490" s="81"/>
      <c r="E490" s="70"/>
      <c r="F490" s="43"/>
      <c r="H490" s="23"/>
      <c r="I490" s="271"/>
      <c r="J490" s="271"/>
      <c r="K490" s="271"/>
      <c r="L490" s="271"/>
      <c r="M490" s="832"/>
      <c r="O490" s="271"/>
    </row>
    <row r="491" spans="1:15" s="22" customFormat="1" ht="12.75">
      <c r="A491" s="22" t="s">
        <v>556</v>
      </c>
      <c r="B491" s="69"/>
      <c r="C491" s="82"/>
      <c r="D491" s="83"/>
      <c r="E491" s="70"/>
      <c r="F491" s="84"/>
      <c r="G491" s="102"/>
      <c r="H491" s="23"/>
      <c r="I491" s="271"/>
      <c r="J491" s="271"/>
      <c r="K491" s="271"/>
      <c r="L491" s="271"/>
      <c r="M491" s="832"/>
      <c r="O491" s="271"/>
    </row>
    <row r="492" spans="1:16" ht="12.75">
      <c r="A492" s="20" t="s">
        <v>559</v>
      </c>
      <c r="B492" s="21"/>
      <c r="C492" s="65">
        <v>0</v>
      </c>
      <c r="D492" s="67" t="s">
        <v>561</v>
      </c>
      <c r="E492" s="67" t="s">
        <v>766</v>
      </c>
      <c r="F492" s="43">
        <v>0.1</v>
      </c>
      <c r="G492" s="102" t="s">
        <v>916</v>
      </c>
      <c r="H492" s="102" t="s">
        <v>929</v>
      </c>
      <c r="I492" s="270" t="s">
        <v>982</v>
      </c>
      <c r="J492" s="271" t="s">
        <v>1034</v>
      </c>
      <c r="K492" s="271" t="s">
        <v>1079</v>
      </c>
      <c r="L492" s="271" t="s">
        <v>1371</v>
      </c>
      <c r="M492" s="832">
        <f>$M$7</f>
        <v>0.06</v>
      </c>
      <c r="N492" s="20">
        <f>(325.844*6%)+325.844</f>
        <v>345.39464</v>
      </c>
      <c r="O492" s="271" t="s">
        <v>1375</v>
      </c>
      <c r="P492" s="271" t="s">
        <v>1379</v>
      </c>
    </row>
    <row r="493" spans="1:16" s="868" customFormat="1" ht="12.75">
      <c r="A493" s="868" t="s">
        <v>1405</v>
      </c>
      <c r="B493" s="838"/>
      <c r="C493" s="869"/>
      <c r="D493" s="877"/>
      <c r="E493" s="877"/>
      <c r="F493" s="870"/>
      <c r="G493" s="875"/>
      <c r="H493" s="875"/>
      <c r="I493" s="878"/>
      <c r="J493" s="872"/>
      <c r="K493" s="872" t="s">
        <v>1152</v>
      </c>
      <c r="L493" s="872" t="s">
        <v>1411</v>
      </c>
      <c r="M493" s="873"/>
      <c r="O493" s="872" t="s">
        <v>1412</v>
      </c>
      <c r="P493" s="872" t="s">
        <v>1413</v>
      </c>
    </row>
    <row r="494" spans="1:16" ht="12.75">
      <c r="A494" s="20" t="s">
        <v>557</v>
      </c>
      <c r="B494" s="21"/>
      <c r="C494" s="65">
        <v>0</v>
      </c>
      <c r="D494" s="67" t="s">
        <v>562</v>
      </c>
      <c r="E494" s="67" t="s">
        <v>767</v>
      </c>
      <c r="F494" s="43">
        <v>0.1</v>
      </c>
      <c r="G494" s="102" t="s">
        <v>768</v>
      </c>
      <c r="H494" s="102" t="s">
        <v>928</v>
      </c>
      <c r="I494" s="270" t="s">
        <v>983</v>
      </c>
      <c r="J494" s="271" t="s">
        <v>1035</v>
      </c>
      <c r="K494" s="271" t="s">
        <v>1080</v>
      </c>
      <c r="L494" s="271" t="s">
        <v>1372</v>
      </c>
      <c r="M494" s="832">
        <f>$M$7</f>
        <v>0.06</v>
      </c>
      <c r="N494" s="20">
        <f>(343.8216*6%)+343.8216</f>
        <v>364.450896</v>
      </c>
      <c r="O494" s="271" t="s">
        <v>1376</v>
      </c>
      <c r="P494" s="271" t="s">
        <v>1380</v>
      </c>
    </row>
    <row r="495" spans="1:16" s="868" customFormat="1" ht="12.75">
      <c r="A495" s="868" t="s">
        <v>1406</v>
      </c>
      <c r="B495" s="838"/>
      <c r="C495" s="869"/>
      <c r="D495" s="877"/>
      <c r="E495" s="877"/>
      <c r="F495" s="870"/>
      <c r="G495" s="875"/>
      <c r="H495" s="875"/>
      <c r="I495" s="878"/>
      <c r="J495" s="872"/>
      <c r="K495" s="872" t="s">
        <v>1152</v>
      </c>
      <c r="L495" s="872" t="s">
        <v>1414</v>
      </c>
      <c r="M495" s="873"/>
      <c r="O495" s="872" t="s">
        <v>1415</v>
      </c>
      <c r="P495" s="872" t="s">
        <v>1416</v>
      </c>
    </row>
    <row r="496" spans="1:16" ht="12.75">
      <c r="A496" s="20" t="s">
        <v>560</v>
      </c>
      <c r="B496" s="21"/>
      <c r="C496" s="65">
        <v>0</v>
      </c>
      <c r="D496" s="67" t="s">
        <v>563</v>
      </c>
      <c r="E496" s="67" t="s">
        <v>768</v>
      </c>
      <c r="F496" s="43">
        <v>0.1</v>
      </c>
      <c r="G496" s="102" t="s">
        <v>917</v>
      </c>
      <c r="H496" s="102" t="s">
        <v>927</v>
      </c>
      <c r="I496" s="270" t="s">
        <v>984</v>
      </c>
      <c r="J496" s="271" t="s">
        <v>1036</v>
      </c>
      <c r="K496" s="271" t="s">
        <v>1081</v>
      </c>
      <c r="L496" s="271" t="s">
        <v>1373</v>
      </c>
      <c r="M496" s="832">
        <f>$M$7</f>
        <v>0.06</v>
      </c>
      <c r="N496" s="20">
        <f>(396.6308*6%)+396.6308</f>
        <v>420.428648</v>
      </c>
      <c r="O496" s="271" t="s">
        <v>1377</v>
      </c>
      <c r="P496" s="271" t="s">
        <v>1381</v>
      </c>
    </row>
    <row r="497" spans="1:16" s="868" customFormat="1" ht="12.75">
      <c r="A497" s="868" t="s">
        <v>1407</v>
      </c>
      <c r="B497" s="838"/>
      <c r="C497" s="869"/>
      <c r="D497" s="877"/>
      <c r="E497" s="877"/>
      <c r="F497" s="870"/>
      <c r="G497" s="875"/>
      <c r="H497" s="875"/>
      <c r="I497" s="878"/>
      <c r="J497" s="872"/>
      <c r="K497" s="872" t="s">
        <v>1152</v>
      </c>
      <c r="L497" s="872" t="s">
        <v>1417</v>
      </c>
      <c r="M497" s="873"/>
      <c r="O497" s="872" t="s">
        <v>1418</v>
      </c>
      <c r="P497" s="872" t="s">
        <v>1419</v>
      </c>
    </row>
    <row r="498" spans="1:16" ht="12.75">
      <c r="A498" s="20" t="s">
        <v>558</v>
      </c>
      <c r="B498" s="21"/>
      <c r="C498" s="65">
        <v>0</v>
      </c>
      <c r="D498" s="67" t="s">
        <v>564</v>
      </c>
      <c r="E498" s="67" t="s">
        <v>769</v>
      </c>
      <c r="F498" s="43">
        <v>0.1</v>
      </c>
      <c r="G498" s="102" t="s">
        <v>918</v>
      </c>
      <c r="H498" s="102" t="s">
        <v>926</v>
      </c>
      <c r="I498" s="270" t="s">
        <v>985</v>
      </c>
      <c r="J498" s="271" t="s">
        <v>1037</v>
      </c>
      <c r="K498" s="271" t="s">
        <v>1082</v>
      </c>
      <c r="L498" s="271" t="s">
        <v>1374</v>
      </c>
      <c r="M498" s="832">
        <f>$M$7</f>
        <v>0.06</v>
      </c>
      <c r="N498" s="103">
        <f>(487.6424*6%)+487.6424</f>
        <v>516.900944</v>
      </c>
      <c r="O498" s="271" t="s">
        <v>1378</v>
      </c>
      <c r="P498" s="271" t="s">
        <v>1382</v>
      </c>
    </row>
    <row r="499" spans="1:16" s="868" customFormat="1" ht="12.75">
      <c r="A499" s="868" t="s">
        <v>1408</v>
      </c>
      <c r="B499" s="838"/>
      <c r="C499" s="869"/>
      <c r="D499" s="877"/>
      <c r="E499" s="877"/>
      <c r="F499" s="870"/>
      <c r="G499" s="875"/>
      <c r="H499" s="875"/>
      <c r="I499" s="878"/>
      <c r="J499" s="872"/>
      <c r="K499" s="872" t="s">
        <v>1152</v>
      </c>
      <c r="L499" s="872" t="s">
        <v>1409</v>
      </c>
      <c r="M499" s="873"/>
      <c r="O499" s="872" t="s">
        <v>1410</v>
      </c>
      <c r="P499" s="872" t="s">
        <v>1420</v>
      </c>
    </row>
    <row r="500" spans="1:16" ht="25.5">
      <c r="A500" s="49" t="s">
        <v>565</v>
      </c>
      <c r="B500" s="21"/>
      <c r="C500" s="65">
        <v>0</v>
      </c>
      <c r="D500" s="85">
        <v>1500</v>
      </c>
      <c r="E500" s="66">
        <v>1500</v>
      </c>
      <c r="F500" s="43">
        <v>0</v>
      </c>
      <c r="G500" s="112">
        <v>1733.4</v>
      </c>
      <c r="H500" s="66">
        <f aca="true" t="shared" si="115" ref="H500:H532">G500*1.06</f>
        <v>1837.4040000000002</v>
      </c>
      <c r="I500" s="271">
        <f>H500*1.06</f>
        <v>1947.6482400000004</v>
      </c>
      <c r="J500" s="271">
        <f>(I500*$M$12)+I500</f>
        <v>2064.5071344000003</v>
      </c>
      <c r="K500" s="271">
        <f>(J500*$M$12)+J500</f>
        <v>2188.377562464</v>
      </c>
      <c r="L500" s="271">
        <f>(K500*M500)+K500</f>
        <v>2319.68021621184</v>
      </c>
      <c r="M500" s="832">
        <f>$M$7</f>
        <v>0.06</v>
      </c>
      <c r="O500" s="271">
        <f>(L500*$O$7)+L500</f>
        <v>2458.8610291845507</v>
      </c>
      <c r="P500" s="271">
        <f>(O500*$P$7)+O500</f>
        <v>2606.3926909356237</v>
      </c>
    </row>
    <row r="501" spans="2:15" ht="12.75">
      <c r="B501" s="21"/>
      <c r="C501" s="65"/>
      <c r="D501" s="81"/>
      <c r="E501" s="70"/>
      <c r="F501" s="43"/>
      <c r="H501" s="23"/>
      <c r="I501" s="271"/>
      <c r="J501" s="271"/>
      <c r="K501" s="271"/>
      <c r="L501" s="271"/>
      <c r="M501" s="832"/>
      <c r="O501" s="271"/>
    </row>
    <row r="502" spans="1:15" s="22" customFormat="1" ht="12.75">
      <c r="A502" s="22" t="s">
        <v>138</v>
      </c>
      <c r="C502" s="69"/>
      <c r="D502" s="66"/>
      <c r="E502" s="70"/>
      <c r="G502" s="102"/>
      <c r="H502" s="23"/>
      <c r="I502" s="271"/>
      <c r="J502" s="271"/>
      <c r="K502" s="271"/>
      <c r="L502" s="271"/>
      <c r="M502" s="832"/>
      <c r="O502" s="271"/>
    </row>
    <row r="503" spans="1:15" s="22" customFormat="1" ht="12.75">
      <c r="A503" s="22" t="s">
        <v>139</v>
      </c>
      <c r="C503" s="69"/>
      <c r="D503" s="66"/>
      <c r="E503" s="70"/>
      <c r="G503" s="102"/>
      <c r="H503" s="23"/>
      <c r="I503" s="271"/>
      <c r="J503" s="271"/>
      <c r="K503" s="271"/>
      <c r="L503" s="271"/>
      <c r="M503" s="832"/>
      <c r="O503" s="271"/>
    </row>
    <row r="504" spans="1:15" ht="13.5" hidden="1">
      <c r="A504" s="20" t="s">
        <v>118</v>
      </c>
      <c r="B504" s="21">
        <v>17.26272</v>
      </c>
      <c r="C504" s="65">
        <f aca="true" t="shared" si="116" ref="C504:C513">B504*1.1</f>
        <v>18.988992000000003</v>
      </c>
      <c r="D504" s="66">
        <f aca="true" t="shared" si="117" ref="D504:D513">C504*1.12</f>
        <v>21.267671040000007</v>
      </c>
      <c r="E504" s="70">
        <f aca="true" t="shared" si="118" ref="E504:E532">D504*1.12</f>
        <v>23.81979156480001</v>
      </c>
      <c r="F504" s="43">
        <f aca="true" t="shared" si="119" ref="F504:F513">(C504-B504)/B504</f>
        <v>0.10000000000000009</v>
      </c>
      <c r="H504" s="23">
        <f t="shared" si="115"/>
        <v>0</v>
      </c>
      <c r="I504" s="271">
        <f aca="true" t="shared" si="120" ref="I504:I522">H504*1.06</f>
        <v>0</v>
      </c>
      <c r="J504" s="271"/>
      <c r="K504" s="271"/>
      <c r="L504" s="271">
        <f aca="true" t="shared" si="121" ref="L504:L536">(K504*M504)+K504</f>
        <v>0</v>
      </c>
      <c r="M504" s="832"/>
      <c r="O504" s="271"/>
    </row>
    <row r="505" spans="1:15" ht="13.5" hidden="1">
      <c r="A505" s="20" t="s">
        <v>494</v>
      </c>
      <c r="B505" s="21">
        <v>8.63136</v>
      </c>
      <c r="C505" s="65">
        <f t="shared" si="116"/>
        <v>9.494496000000002</v>
      </c>
      <c r="D505" s="66">
        <f t="shared" si="117"/>
        <v>10.633835520000003</v>
      </c>
      <c r="E505" s="70">
        <f t="shared" si="118"/>
        <v>11.909895782400005</v>
      </c>
      <c r="F505" s="43">
        <f t="shared" si="119"/>
        <v>0.10000000000000009</v>
      </c>
      <c r="H505" s="23">
        <f t="shared" si="115"/>
        <v>0</v>
      </c>
      <c r="I505" s="271">
        <f t="shared" si="120"/>
        <v>0</v>
      </c>
      <c r="J505" s="271"/>
      <c r="K505" s="271"/>
      <c r="L505" s="271">
        <f t="shared" si="121"/>
        <v>0</v>
      </c>
      <c r="M505" s="832"/>
      <c r="O505" s="271"/>
    </row>
    <row r="506" spans="1:15" ht="13.5" hidden="1">
      <c r="A506" s="20" t="s">
        <v>140</v>
      </c>
      <c r="B506" s="21">
        <v>8.63136</v>
      </c>
      <c r="C506" s="65">
        <f t="shared" si="116"/>
        <v>9.494496000000002</v>
      </c>
      <c r="D506" s="66">
        <f t="shared" si="117"/>
        <v>10.633835520000003</v>
      </c>
      <c r="E506" s="70">
        <f t="shared" si="118"/>
        <v>11.909895782400005</v>
      </c>
      <c r="F506" s="43">
        <f t="shared" si="119"/>
        <v>0.10000000000000009</v>
      </c>
      <c r="H506" s="23">
        <f t="shared" si="115"/>
        <v>0</v>
      </c>
      <c r="I506" s="271">
        <f t="shared" si="120"/>
        <v>0</v>
      </c>
      <c r="J506" s="271"/>
      <c r="K506" s="271"/>
      <c r="L506" s="271">
        <f t="shared" si="121"/>
        <v>0</v>
      </c>
      <c r="M506" s="832"/>
      <c r="O506" s="271"/>
    </row>
    <row r="507" spans="1:15" ht="13.5" hidden="1">
      <c r="A507" s="20" t="s">
        <v>495</v>
      </c>
      <c r="B507" s="21">
        <v>144.63360000000003</v>
      </c>
      <c r="C507" s="65">
        <f t="shared" si="116"/>
        <v>159.09696000000005</v>
      </c>
      <c r="D507" s="66">
        <f t="shared" si="117"/>
        <v>178.18859520000007</v>
      </c>
      <c r="E507" s="70">
        <f t="shared" si="118"/>
        <v>199.5712266240001</v>
      </c>
      <c r="F507" s="43">
        <f t="shared" si="119"/>
        <v>0.10000000000000014</v>
      </c>
      <c r="H507" s="23">
        <f t="shared" si="115"/>
        <v>0</v>
      </c>
      <c r="I507" s="271">
        <f t="shared" si="120"/>
        <v>0</v>
      </c>
      <c r="J507" s="271"/>
      <c r="K507" s="271"/>
      <c r="L507" s="271">
        <f t="shared" si="121"/>
        <v>0</v>
      </c>
      <c r="M507" s="832"/>
      <c r="O507" s="271"/>
    </row>
    <row r="508" spans="1:15" ht="13.5" hidden="1">
      <c r="A508" s="20" t="s">
        <v>496</v>
      </c>
      <c r="B508" s="21">
        <v>81.58968000000002</v>
      </c>
      <c r="C508" s="65">
        <f t="shared" si="116"/>
        <v>89.74864800000003</v>
      </c>
      <c r="D508" s="66">
        <f t="shared" si="117"/>
        <v>100.51848576000005</v>
      </c>
      <c r="E508" s="70">
        <f t="shared" si="118"/>
        <v>112.58070405120006</v>
      </c>
      <c r="F508" s="43">
        <f t="shared" si="119"/>
        <v>0.10000000000000017</v>
      </c>
      <c r="H508" s="23">
        <f t="shared" si="115"/>
        <v>0</v>
      </c>
      <c r="I508" s="271">
        <f t="shared" si="120"/>
        <v>0</v>
      </c>
      <c r="J508" s="271"/>
      <c r="K508" s="271"/>
      <c r="L508" s="271">
        <f t="shared" si="121"/>
        <v>0</v>
      </c>
      <c r="M508" s="832"/>
      <c r="O508" s="271"/>
    </row>
    <row r="509" spans="1:15" ht="13.5" hidden="1">
      <c r="A509" s="20" t="s">
        <v>497</v>
      </c>
      <c r="B509" s="21">
        <v>40.800672000000006</v>
      </c>
      <c r="C509" s="65">
        <f t="shared" si="116"/>
        <v>44.88073920000001</v>
      </c>
      <c r="D509" s="66">
        <f t="shared" si="117"/>
        <v>50.26642790400001</v>
      </c>
      <c r="E509" s="70">
        <f t="shared" si="118"/>
        <v>56.29839925248002</v>
      </c>
      <c r="F509" s="43">
        <f t="shared" si="119"/>
        <v>0.10000000000000003</v>
      </c>
      <c r="H509" s="23">
        <f t="shared" si="115"/>
        <v>0</v>
      </c>
      <c r="I509" s="271">
        <f t="shared" si="120"/>
        <v>0</v>
      </c>
      <c r="J509" s="271"/>
      <c r="K509" s="271"/>
      <c r="L509" s="271">
        <f t="shared" si="121"/>
        <v>0</v>
      </c>
      <c r="M509" s="832"/>
      <c r="O509" s="271"/>
    </row>
    <row r="510" spans="1:15" ht="13.5" hidden="1">
      <c r="A510" s="20" t="s">
        <v>498</v>
      </c>
      <c r="B510" s="21">
        <v>33.35904000000001</v>
      </c>
      <c r="C510" s="65">
        <f t="shared" si="116"/>
        <v>36.694944000000014</v>
      </c>
      <c r="D510" s="66">
        <f t="shared" si="117"/>
        <v>41.09833728000002</v>
      </c>
      <c r="E510" s="70">
        <f t="shared" si="118"/>
        <v>46.03013775360002</v>
      </c>
      <c r="F510" s="43">
        <f t="shared" si="119"/>
        <v>0.10000000000000017</v>
      </c>
      <c r="H510" s="23">
        <f t="shared" si="115"/>
        <v>0</v>
      </c>
      <c r="I510" s="271">
        <f t="shared" si="120"/>
        <v>0</v>
      </c>
      <c r="J510" s="271"/>
      <c r="K510" s="271"/>
      <c r="L510" s="271">
        <f t="shared" si="121"/>
        <v>0</v>
      </c>
      <c r="M510" s="832"/>
      <c r="O510" s="271"/>
    </row>
    <row r="511" spans="1:15" ht="13.5" hidden="1">
      <c r="A511" s="20" t="s">
        <v>499</v>
      </c>
      <c r="B511" s="21">
        <v>144.63360000000003</v>
      </c>
      <c r="C511" s="65">
        <f t="shared" si="116"/>
        <v>159.09696000000005</v>
      </c>
      <c r="D511" s="66">
        <f t="shared" si="117"/>
        <v>178.18859520000007</v>
      </c>
      <c r="E511" s="70">
        <f t="shared" si="118"/>
        <v>199.5712266240001</v>
      </c>
      <c r="F511" s="43">
        <f t="shared" si="119"/>
        <v>0.10000000000000014</v>
      </c>
      <c r="H511" s="23">
        <f t="shared" si="115"/>
        <v>0</v>
      </c>
      <c r="I511" s="271">
        <f t="shared" si="120"/>
        <v>0</v>
      </c>
      <c r="J511" s="271"/>
      <c r="K511" s="271"/>
      <c r="L511" s="271">
        <f t="shared" si="121"/>
        <v>0</v>
      </c>
      <c r="M511" s="832"/>
      <c r="O511" s="271"/>
    </row>
    <row r="512" spans="1:15" ht="13.5" hidden="1">
      <c r="A512" s="20" t="s">
        <v>500</v>
      </c>
      <c r="B512" s="21">
        <v>198.28800000000004</v>
      </c>
      <c r="C512" s="65">
        <f t="shared" si="116"/>
        <v>218.11680000000007</v>
      </c>
      <c r="D512" s="66">
        <f t="shared" si="117"/>
        <v>244.2908160000001</v>
      </c>
      <c r="E512" s="70">
        <f t="shared" si="118"/>
        <v>273.60571392000014</v>
      </c>
      <c r="F512" s="43">
        <f t="shared" si="119"/>
        <v>0.10000000000000013</v>
      </c>
      <c r="H512" s="23">
        <f t="shared" si="115"/>
        <v>0</v>
      </c>
      <c r="I512" s="271">
        <f t="shared" si="120"/>
        <v>0</v>
      </c>
      <c r="J512" s="271"/>
      <c r="K512" s="271"/>
      <c r="L512" s="271">
        <f t="shared" si="121"/>
        <v>0</v>
      </c>
      <c r="M512" s="832"/>
      <c r="O512" s="271"/>
    </row>
    <row r="513" spans="1:15" ht="13.5" hidden="1">
      <c r="A513" s="20" t="s">
        <v>501</v>
      </c>
      <c r="B513" s="21">
        <v>216.36720000000003</v>
      </c>
      <c r="C513" s="65">
        <f t="shared" si="116"/>
        <v>238.00392000000005</v>
      </c>
      <c r="D513" s="66">
        <f t="shared" si="117"/>
        <v>266.5643904000001</v>
      </c>
      <c r="E513" s="70">
        <f t="shared" si="118"/>
        <v>298.5521172480001</v>
      </c>
      <c r="F513" s="43">
        <f t="shared" si="119"/>
        <v>0.1000000000000001</v>
      </c>
      <c r="H513" s="23">
        <f t="shared" si="115"/>
        <v>0</v>
      </c>
      <c r="I513" s="271">
        <f t="shared" si="120"/>
        <v>0</v>
      </c>
      <c r="J513" s="271"/>
      <c r="K513" s="271"/>
      <c r="L513" s="271">
        <f t="shared" si="121"/>
        <v>0</v>
      </c>
      <c r="M513" s="832"/>
      <c r="O513" s="271"/>
    </row>
    <row r="514" spans="1:15" ht="13.5" hidden="1">
      <c r="A514" s="20" t="s">
        <v>479</v>
      </c>
      <c r="B514" s="21"/>
      <c r="C514" s="65">
        <v>20</v>
      </c>
      <c r="D514" s="66">
        <v>20</v>
      </c>
      <c r="E514" s="70">
        <v>20</v>
      </c>
      <c r="F514" s="43">
        <f aca="true" t="shared" si="122" ref="F514:F521">(E514-D514)/D514</f>
        <v>0</v>
      </c>
      <c r="G514" s="112">
        <v>23.112000000000002</v>
      </c>
      <c r="H514" s="112">
        <f t="shared" si="115"/>
        <v>24.498720000000002</v>
      </c>
      <c r="I514" s="271">
        <f t="shared" si="120"/>
        <v>25.968643200000002</v>
      </c>
      <c r="J514" s="271">
        <v>0</v>
      </c>
      <c r="K514" s="271">
        <f aca="true" t="shared" si="123" ref="K514:K522">(J514*$M$12)+J514</f>
        <v>0</v>
      </c>
      <c r="L514" s="271">
        <f t="shared" si="121"/>
        <v>0</v>
      </c>
      <c r="M514" s="832"/>
      <c r="O514" s="271"/>
    </row>
    <row r="515" spans="1:16" ht="12.75">
      <c r="A515" s="20" t="s">
        <v>502</v>
      </c>
      <c r="B515" s="21">
        <v>7.581600000000001</v>
      </c>
      <c r="C515" s="65">
        <v>20</v>
      </c>
      <c r="D515" s="66">
        <f>C515*1.1</f>
        <v>22</v>
      </c>
      <c r="E515" s="70">
        <v>22</v>
      </c>
      <c r="F515" s="43">
        <f t="shared" si="122"/>
        <v>0</v>
      </c>
      <c r="G515" s="112">
        <v>25.423200000000005</v>
      </c>
      <c r="H515" s="112">
        <f t="shared" si="115"/>
        <v>26.948592000000005</v>
      </c>
      <c r="I515" s="271">
        <f t="shared" si="120"/>
        <v>28.565507520000008</v>
      </c>
      <c r="J515" s="271">
        <f>(I515*$M$12)+I515</f>
        <v>30.279437971200007</v>
      </c>
      <c r="K515" s="271">
        <f t="shared" si="123"/>
        <v>32.09620424947201</v>
      </c>
      <c r="L515" s="271">
        <f t="shared" si="121"/>
        <v>34.02197650444033</v>
      </c>
      <c r="M515" s="832">
        <f aca="true" t="shared" si="124" ref="M515:M522">$M$7</f>
        <v>0.06</v>
      </c>
      <c r="O515" s="271">
        <f aca="true" t="shared" si="125" ref="O515:O522">(L515*$O$7)+L515</f>
        <v>36.06329509470675</v>
      </c>
      <c r="P515" s="271">
        <f aca="true" t="shared" si="126" ref="P515:P522">(O515*$P$7)+O515</f>
        <v>38.22709280038916</v>
      </c>
    </row>
    <row r="516" spans="1:16" ht="12.75">
      <c r="A516" s="20" t="s">
        <v>478</v>
      </c>
      <c r="B516" s="21">
        <v>0.7581600000000002</v>
      </c>
      <c r="C516" s="65">
        <v>0.9</v>
      </c>
      <c r="D516" s="21">
        <v>0.9</v>
      </c>
      <c r="E516" s="21">
        <v>1</v>
      </c>
      <c r="F516" s="43">
        <v>0.1</v>
      </c>
      <c r="G516" s="112">
        <v>1.1556000000000002</v>
      </c>
      <c r="H516" s="112">
        <f t="shared" si="115"/>
        <v>1.2249360000000002</v>
      </c>
      <c r="I516" s="271">
        <f t="shared" si="120"/>
        <v>1.2984321600000004</v>
      </c>
      <c r="J516" s="271">
        <f aca="true" t="shared" si="127" ref="J516:J522">(I516*$M$12)+I516</f>
        <v>1.3763380896000004</v>
      </c>
      <c r="K516" s="271">
        <f t="shared" si="123"/>
        <v>1.4589183749760004</v>
      </c>
      <c r="L516" s="271">
        <f t="shared" si="121"/>
        <v>1.5464534774745604</v>
      </c>
      <c r="M516" s="832">
        <f t="shared" si="124"/>
        <v>0.06</v>
      </c>
      <c r="O516" s="271">
        <f t="shared" si="125"/>
        <v>1.639240686123034</v>
      </c>
      <c r="P516" s="271">
        <f t="shared" si="126"/>
        <v>1.737595127290416</v>
      </c>
    </row>
    <row r="517" spans="1:16" ht="12.75">
      <c r="A517" s="20" t="s">
        <v>503</v>
      </c>
      <c r="B517" s="21">
        <v>2.6244000000000005</v>
      </c>
      <c r="C517" s="65">
        <v>3.5</v>
      </c>
      <c r="D517" s="21">
        <v>3.5</v>
      </c>
      <c r="E517" s="21">
        <v>3.5</v>
      </c>
      <c r="F517" s="43">
        <f t="shared" si="122"/>
        <v>0</v>
      </c>
      <c r="G517" s="112">
        <v>4.044600000000001</v>
      </c>
      <c r="H517" s="112">
        <f t="shared" si="115"/>
        <v>4.287276000000001</v>
      </c>
      <c r="I517" s="271">
        <f t="shared" si="120"/>
        <v>4.544512560000001</v>
      </c>
      <c r="J517" s="271">
        <f t="shared" si="127"/>
        <v>4.817183313600001</v>
      </c>
      <c r="K517" s="271">
        <f t="shared" si="123"/>
        <v>5.106214312416001</v>
      </c>
      <c r="L517" s="271">
        <f t="shared" si="121"/>
        <v>5.412587171160961</v>
      </c>
      <c r="M517" s="832">
        <f t="shared" si="124"/>
        <v>0.06</v>
      </c>
      <c r="O517" s="271">
        <f t="shared" si="125"/>
        <v>5.7373424014306185</v>
      </c>
      <c r="P517" s="271">
        <f t="shared" si="126"/>
        <v>6.081582945516455</v>
      </c>
    </row>
    <row r="518" spans="1:16" ht="12.75">
      <c r="A518" s="20" t="s">
        <v>142</v>
      </c>
      <c r="B518" s="21">
        <v>3.6741600000000005</v>
      </c>
      <c r="C518" s="65">
        <v>4.4</v>
      </c>
      <c r="D518" s="21">
        <v>4.4</v>
      </c>
      <c r="E518" s="21">
        <v>5</v>
      </c>
      <c r="F518" s="43">
        <v>0.12</v>
      </c>
      <c r="G518" s="112">
        <v>5.7780000000000005</v>
      </c>
      <c r="H518" s="112">
        <f t="shared" si="115"/>
        <v>6.124680000000001</v>
      </c>
      <c r="I518" s="271">
        <f t="shared" si="120"/>
        <v>6.492160800000001</v>
      </c>
      <c r="J518" s="271">
        <f t="shared" si="127"/>
        <v>6.8816904480000005</v>
      </c>
      <c r="K518" s="271">
        <f t="shared" si="123"/>
        <v>7.294591874880001</v>
      </c>
      <c r="L518" s="271">
        <f t="shared" si="121"/>
        <v>7.732267387372801</v>
      </c>
      <c r="M518" s="832">
        <f t="shared" si="124"/>
        <v>0.06</v>
      </c>
      <c r="O518" s="271">
        <f t="shared" si="125"/>
        <v>8.196203430615169</v>
      </c>
      <c r="P518" s="271">
        <f t="shared" si="126"/>
        <v>8.687975636452078</v>
      </c>
    </row>
    <row r="519" spans="1:16" ht="12.75">
      <c r="A519" s="20" t="s">
        <v>141</v>
      </c>
      <c r="B519" s="21">
        <v>3.709152000000001</v>
      </c>
      <c r="C519" s="65">
        <v>40</v>
      </c>
      <c r="D519" s="21">
        <v>40</v>
      </c>
      <c r="E519" s="21">
        <v>45</v>
      </c>
      <c r="F519" s="43">
        <v>0.11</v>
      </c>
      <c r="G519" s="112">
        <v>52.002</v>
      </c>
      <c r="H519" s="112">
        <f t="shared" si="115"/>
        <v>55.12212</v>
      </c>
      <c r="I519" s="271">
        <f t="shared" si="120"/>
        <v>58.429447200000006</v>
      </c>
      <c r="J519" s="271">
        <f t="shared" si="127"/>
        <v>61.935214032000005</v>
      </c>
      <c r="K519" s="271">
        <f t="shared" si="123"/>
        <v>65.65132687392</v>
      </c>
      <c r="L519" s="271">
        <f t="shared" si="121"/>
        <v>69.59040648635519</v>
      </c>
      <c r="M519" s="832">
        <f t="shared" si="124"/>
        <v>0.06</v>
      </c>
      <c r="O519" s="271">
        <f t="shared" si="125"/>
        <v>73.76583087553651</v>
      </c>
      <c r="P519" s="271">
        <f t="shared" si="126"/>
        <v>78.1917807280687</v>
      </c>
    </row>
    <row r="520" spans="1:16" ht="12.75">
      <c r="A520" s="20" t="s">
        <v>504</v>
      </c>
      <c r="B520" s="21">
        <v>0.69984</v>
      </c>
      <c r="C520" s="65">
        <v>0.7</v>
      </c>
      <c r="D520" s="21">
        <v>0.7</v>
      </c>
      <c r="E520" s="21">
        <v>0.7</v>
      </c>
      <c r="F520" s="43">
        <f t="shared" si="122"/>
        <v>0</v>
      </c>
      <c r="G520" s="112">
        <v>0.8089200000000001</v>
      </c>
      <c r="H520" s="112">
        <f t="shared" si="115"/>
        <v>0.8574552000000001</v>
      </c>
      <c r="I520" s="271">
        <f t="shared" si="120"/>
        <v>0.9089025120000002</v>
      </c>
      <c r="J520" s="271">
        <f t="shared" si="127"/>
        <v>0.9634366627200002</v>
      </c>
      <c r="K520" s="271">
        <f t="shared" si="123"/>
        <v>1.0212428624832002</v>
      </c>
      <c r="L520" s="271">
        <f t="shared" si="121"/>
        <v>1.0825174342321922</v>
      </c>
      <c r="M520" s="832">
        <f t="shared" si="124"/>
        <v>0.06</v>
      </c>
      <c r="O520" s="271">
        <f t="shared" si="125"/>
        <v>1.1474684802861237</v>
      </c>
      <c r="P520" s="271">
        <f t="shared" si="126"/>
        <v>1.2163165891032912</v>
      </c>
    </row>
    <row r="521" spans="1:16" ht="12.75">
      <c r="A521" s="86" t="s">
        <v>505</v>
      </c>
      <c r="B521" s="21">
        <v>0.69984</v>
      </c>
      <c r="C521" s="65">
        <v>1</v>
      </c>
      <c r="D521" s="21">
        <v>1</v>
      </c>
      <c r="E521" s="21">
        <v>1.5</v>
      </c>
      <c r="F521" s="43">
        <f t="shared" si="122"/>
        <v>0.5</v>
      </c>
      <c r="G521" s="112">
        <v>1.7334000000000003</v>
      </c>
      <c r="H521" s="112">
        <f t="shared" si="115"/>
        <v>1.8374040000000005</v>
      </c>
      <c r="I521" s="271">
        <f t="shared" si="120"/>
        <v>1.9476482400000006</v>
      </c>
      <c r="J521" s="271">
        <f t="shared" si="127"/>
        <v>2.0645071344000008</v>
      </c>
      <c r="K521" s="271">
        <f t="shared" si="123"/>
        <v>2.1883775624640007</v>
      </c>
      <c r="L521" s="271">
        <f t="shared" si="121"/>
        <v>2.319680216211841</v>
      </c>
      <c r="M521" s="832">
        <f t="shared" si="124"/>
        <v>0.06</v>
      </c>
      <c r="O521" s="271">
        <f t="shared" si="125"/>
        <v>2.4588610291845514</v>
      </c>
      <c r="P521" s="271">
        <f t="shared" si="126"/>
        <v>2.6063926909356243</v>
      </c>
    </row>
    <row r="522" spans="1:16" ht="12.75">
      <c r="A522" s="20" t="s">
        <v>493</v>
      </c>
      <c r="B522" s="20">
        <v>0</v>
      </c>
      <c r="C522" s="77">
        <v>125</v>
      </c>
      <c r="D522" s="21">
        <v>125</v>
      </c>
      <c r="E522" s="21">
        <v>140</v>
      </c>
      <c r="F522" s="43">
        <v>0.1</v>
      </c>
      <c r="G522" s="112">
        <v>161.78400000000002</v>
      </c>
      <c r="H522" s="112">
        <f t="shared" si="115"/>
        <v>171.49104000000003</v>
      </c>
      <c r="I522" s="271">
        <f t="shared" si="120"/>
        <v>181.78050240000005</v>
      </c>
      <c r="J522" s="271">
        <f t="shared" si="127"/>
        <v>192.68733254400004</v>
      </c>
      <c r="K522" s="271">
        <f t="shared" si="123"/>
        <v>204.24857249664004</v>
      </c>
      <c r="L522" s="271">
        <f t="shared" si="121"/>
        <v>216.50348684643845</v>
      </c>
      <c r="M522" s="832">
        <f t="shared" si="124"/>
        <v>0.06</v>
      </c>
      <c r="O522" s="271">
        <f t="shared" si="125"/>
        <v>229.49369605722475</v>
      </c>
      <c r="P522" s="271">
        <f t="shared" si="126"/>
        <v>243.26331782065824</v>
      </c>
    </row>
    <row r="523" spans="1:15" ht="12.75">
      <c r="A523" s="20" t="s">
        <v>143</v>
      </c>
      <c r="B523" s="20" t="s">
        <v>65</v>
      </c>
      <c r="C523" s="21" t="s">
        <v>65</v>
      </c>
      <c r="D523" s="76" t="s">
        <v>65</v>
      </c>
      <c r="E523" s="76" t="s">
        <v>65</v>
      </c>
      <c r="F523" s="43"/>
      <c r="G523" s="102" t="s">
        <v>65</v>
      </c>
      <c r="H523" s="23"/>
      <c r="I523" s="114"/>
      <c r="L523" s="271"/>
      <c r="M523" s="832"/>
      <c r="O523" s="271"/>
    </row>
    <row r="524" spans="1:15" ht="12.75">
      <c r="A524" s="20" t="s">
        <v>144</v>
      </c>
      <c r="B524" s="20" t="s">
        <v>65</v>
      </c>
      <c r="C524" s="21" t="s">
        <v>65</v>
      </c>
      <c r="D524" s="76" t="s">
        <v>65</v>
      </c>
      <c r="E524" s="76" t="s">
        <v>65</v>
      </c>
      <c r="F524" s="43"/>
      <c r="G524" s="102" t="s">
        <v>65</v>
      </c>
      <c r="H524" s="23"/>
      <c r="I524" s="114"/>
      <c r="L524" s="271"/>
      <c r="M524" s="832"/>
      <c r="O524" s="271"/>
    </row>
    <row r="525" spans="4:15" ht="12.75">
      <c r="D525" s="66"/>
      <c r="E525" s="70"/>
      <c r="H525" s="23"/>
      <c r="I525" s="114"/>
      <c r="L525" s="271"/>
      <c r="M525" s="832"/>
      <c r="O525" s="271"/>
    </row>
    <row r="526" spans="1:15" s="22" customFormat="1" ht="13.5" hidden="1">
      <c r="A526" s="22" t="s">
        <v>145</v>
      </c>
      <c r="C526" s="69"/>
      <c r="D526" s="66"/>
      <c r="E526" s="70"/>
      <c r="G526" s="102"/>
      <c r="H526" s="23"/>
      <c r="I526" s="114"/>
      <c r="J526" s="114"/>
      <c r="K526" s="114"/>
      <c r="L526" s="271"/>
      <c r="M526" s="832"/>
      <c r="O526" s="271"/>
    </row>
    <row r="527" spans="1:15" ht="13.5" hidden="1">
      <c r="A527" s="20" t="s">
        <v>146</v>
      </c>
      <c r="B527" s="20">
        <v>4.5</v>
      </c>
      <c r="C527" s="65">
        <v>4.5</v>
      </c>
      <c r="D527" s="66">
        <f>C527*1.1</f>
        <v>4.95</v>
      </c>
      <c r="E527" s="70">
        <f>D527*1.1</f>
        <v>5.445</v>
      </c>
      <c r="F527" s="43">
        <f>(E527-D527)/D527</f>
        <v>0.10000000000000002</v>
      </c>
      <c r="G527" s="841" t="s">
        <v>937</v>
      </c>
      <c r="H527" s="112"/>
      <c r="I527" s="114"/>
      <c r="L527" s="271"/>
      <c r="M527" s="832"/>
      <c r="O527" s="271"/>
    </row>
    <row r="528" spans="1:15" ht="13.5" hidden="1">
      <c r="A528" s="20" t="s">
        <v>147</v>
      </c>
      <c r="B528" s="20">
        <v>2</v>
      </c>
      <c r="C528" s="65">
        <v>2</v>
      </c>
      <c r="D528" s="66">
        <f>C528*1.1</f>
        <v>2.2</v>
      </c>
      <c r="E528" s="70">
        <f>D528*1.1</f>
        <v>2.4200000000000004</v>
      </c>
      <c r="F528" s="43">
        <f>(E528-D528)/D528</f>
        <v>0.10000000000000007</v>
      </c>
      <c r="G528" s="112"/>
      <c r="H528" s="112"/>
      <c r="I528" s="114"/>
      <c r="L528" s="271"/>
      <c r="M528" s="832"/>
      <c r="O528" s="271"/>
    </row>
    <row r="529" spans="1:15" ht="13.5" hidden="1">
      <c r="A529" s="20" t="s">
        <v>148</v>
      </c>
      <c r="B529" s="20">
        <v>5.5</v>
      </c>
      <c r="C529" s="65">
        <f>B529*1.1</f>
        <v>6.050000000000001</v>
      </c>
      <c r="D529" s="66">
        <f>C529*1.12</f>
        <v>6.776000000000002</v>
      </c>
      <c r="E529" s="70">
        <f t="shared" si="118"/>
        <v>7.589120000000002</v>
      </c>
      <c r="F529" s="43">
        <f>(C529-B529)/B529</f>
        <v>0.10000000000000013</v>
      </c>
      <c r="H529" s="23">
        <f t="shared" si="115"/>
        <v>0</v>
      </c>
      <c r="I529" s="114"/>
      <c r="L529" s="271"/>
      <c r="M529" s="832"/>
      <c r="O529" s="271"/>
    </row>
    <row r="530" spans="1:15" ht="13.5" hidden="1">
      <c r="A530" s="20" t="s">
        <v>149</v>
      </c>
      <c r="B530" s="20">
        <v>2</v>
      </c>
      <c r="C530" s="65">
        <f>B530*1.1</f>
        <v>2.2</v>
      </c>
      <c r="D530" s="66">
        <f>C530*1.12</f>
        <v>2.4640000000000004</v>
      </c>
      <c r="E530" s="70">
        <f t="shared" si="118"/>
        <v>2.759680000000001</v>
      </c>
      <c r="F530" s="43">
        <f>(C530-B530)/B530</f>
        <v>0.10000000000000009</v>
      </c>
      <c r="H530" s="23">
        <f t="shared" si="115"/>
        <v>0</v>
      </c>
      <c r="I530" s="114"/>
      <c r="L530" s="271"/>
      <c r="M530" s="832"/>
      <c r="O530" s="271"/>
    </row>
    <row r="531" spans="1:15" ht="13.5" hidden="1">
      <c r="A531" s="20" t="s">
        <v>150</v>
      </c>
      <c r="B531" s="20">
        <v>8.5</v>
      </c>
      <c r="C531" s="65">
        <f>B531*1.1</f>
        <v>9.350000000000001</v>
      </c>
      <c r="D531" s="66">
        <f>C531*1.12</f>
        <v>10.472000000000003</v>
      </c>
      <c r="E531" s="70">
        <f t="shared" si="118"/>
        <v>11.728640000000004</v>
      </c>
      <c r="F531" s="43">
        <f>(C531-B531)/B531</f>
        <v>0.10000000000000017</v>
      </c>
      <c r="H531" s="23">
        <f t="shared" si="115"/>
        <v>0</v>
      </c>
      <c r="I531" s="114"/>
      <c r="L531" s="271"/>
      <c r="M531" s="832"/>
      <c r="O531" s="271"/>
    </row>
    <row r="532" spans="1:15" ht="13.5" hidden="1">
      <c r="A532" s="20" t="s">
        <v>151</v>
      </c>
      <c r="B532" s="20">
        <v>2</v>
      </c>
      <c r="C532" s="65">
        <f>B532*1.1</f>
        <v>2.2</v>
      </c>
      <c r="D532" s="66">
        <f>C532*1.12</f>
        <v>2.4640000000000004</v>
      </c>
      <c r="E532" s="70">
        <f t="shared" si="118"/>
        <v>2.759680000000001</v>
      </c>
      <c r="F532" s="43">
        <f>(C532-B532)/B532</f>
        <v>0.10000000000000009</v>
      </c>
      <c r="H532" s="23">
        <f t="shared" si="115"/>
        <v>0</v>
      </c>
      <c r="I532" s="114"/>
      <c r="L532" s="271"/>
      <c r="M532" s="832"/>
      <c r="O532" s="271"/>
    </row>
    <row r="533" spans="3:15" ht="12.75">
      <c r="C533" s="65"/>
      <c r="D533" s="66"/>
      <c r="E533" s="70"/>
      <c r="F533" s="43"/>
      <c r="H533" s="23"/>
      <c r="I533" s="114"/>
      <c r="L533" s="271"/>
      <c r="M533" s="832"/>
      <c r="O533" s="271"/>
    </row>
    <row r="534" spans="1:15" ht="12.75">
      <c r="A534" s="22" t="s">
        <v>941</v>
      </c>
      <c r="D534" s="66"/>
      <c r="E534" s="70"/>
      <c r="H534" s="23"/>
      <c r="I534" s="271"/>
      <c r="J534" s="271"/>
      <c r="K534" s="271"/>
      <c r="L534" s="271"/>
      <c r="M534" s="832"/>
      <c r="O534" s="271"/>
    </row>
    <row r="535" spans="1:16" ht="12.75">
      <c r="A535" s="20" t="s">
        <v>942</v>
      </c>
      <c r="B535" s="21">
        <v>46.656000000000006</v>
      </c>
      <c r="D535" s="66">
        <f>B535*1.1</f>
        <v>51.32160000000001</v>
      </c>
      <c r="E535" s="66">
        <f>D535*1.1</f>
        <v>56.45376000000002</v>
      </c>
      <c r="F535" s="66">
        <f>E535*1.1</f>
        <v>62.09913600000002</v>
      </c>
      <c r="G535" s="66">
        <v>72</v>
      </c>
      <c r="H535" s="112">
        <v>76</v>
      </c>
      <c r="I535" s="271">
        <f>H535*1.06</f>
        <v>80.56</v>
      </c>
      <c r="J535" s="271">
        <f>(I535*$M$12)+I535</f>
        <v>85.3936</v>
      </c>
      <c r="K535" s="271">
        <f>(J535*$M$12)+J535</f>
        <v>90.517216</v>
      </c>
      <c r="L535" s="271">
        <f t="shared" si="121"/>
        <v>95.94824896</v>
      </c>
      <c r="M535" s="832">
        <f>$M$7</f>
        <v>0.06</v>
      </c>
      <c r="N535" s="111">
        <f>SUM(M535-H535)/H535</f>
        <v>-0.9992105263157894</v>
      </c>
      <c r="O535" s="271">
        <f>(L535*$O$7)+L535</f>
        <v>101.7051438976</v>
      </c>
      <c r="P535" s="271">
        <f>(O535*$P$7)+O535</f>
        <v>107.807452531456</v>
      </c>
    </row>
    <row r="536" spans="1:16" ht="12.75">
      <c r="A536" s="20" t="s">
        <v>578</v>
      </c>
      <c r="B536" s="21"/>
      <c r="D536" s="66"/>
      <c r="E536" s="70"/>
      <c r="H536" s="23"/>
      <c r="I536" s="271"/>
      <c r="J536" s="265">
        <v>140</v>
      </c>
      <c r="K536" s="265">
        <f>('GENERAL TARIFFS@6%'!J536*'PUBLIC SAFETY @6%'!$N$12)+'GENERAL TARIFFS@6%'!J536</f>
        <v>148.4</v>
      </c>
      <c r="L536" s="271">
        <f t="shared" si="121"/>
        <v>157.304</v>
      </c>
      <c r="M536" s="111">
        <f>$M$7</f>
        <v>0.06</v>
      </c>
      <c r="O536" s="271">
        <f>(L536*$O$7)+L536</f>
        <v>166.74224</v>
      </c>
      <c r="P536" s="271">
        <f>(O536*$P$7)+O536</f>
        <v>176.74677440000002</v>
      </c>
    </row>
    <row r="537" spans="2:15" ht="12.75">
      <c r="B537" s="21"/>
      <c r="D537" s="66"/>
      <c r="E537" s="70"/>
      <c r="H537" s="23"/>
      <c r="I537" s="271"/>
      <c r="J537" s="271"/>
      <c r="K537" s="271"/>
      <c r="L537" s="271"/>
      <c r="M537" s="832"/>
      <c r="O537" s="271"/>
    </row>
    <row r="538" spans="2:15" ht="12.75">
      <c r="B538" s="21"/>
      <c r="D538" s="66"/>
      <c r="E538" s="70"/>
      <c r="H538" s="23"/>
      <c r="I538" s="271"/>
      <c r="J538" s="271"/>
      <c r="K538" s="271"/>
      <c r="L538" s="271"/>
      <c r="M538" s="832"/>
      <c r="O538" s="271"/>
    </row>
    <row r="539" spans="1:15" s="22" customFormat="1" ht="12.75">
      <c r="A539" s="22" t="s">
        <v>1384</v>
      </c>
      <c r="B539" s="69"/>
      <c r="C539" s="69"/>
      <c r="D539" s="175"/>
      <c r="E539" s="829"/>
      <c r="G539" s="101"/>
      <c r="H539" s="830"/>
      <c r="I539" s="831"/>
      <c r="J539" s="831"/>
      <c r="K539" s="831"/>
      <c r="L539" s="831"/>
      <c r="M539" s="953"/>
      <c r="O539" s="831"/>
    </row>
    <row r="540" spans="2:15" s="22" customFormat="1" ht="12.75">
      <c r="B540" s="69"/>
      <c r="C540" s="69"/>
      <c r="D540" s="175"/>
      <c r="E540" s="829"/>
      <c r="G540" s="101"/>
      <c r="H540" s="830"/>
      <c r="I540" s="831"/>
      <c r="J540" s="831"/>
      <c r="K540" s="831"/>
      <c r="L540" s="831"/>
      <c r="M540" s="953"/>
      <c r="O540" s="831"/>
    </row>
    <row r="541" spans="1:15" s="22" customFormat="1" ht="12.75">
      <c r="A541" s="22" t="s">
        <v>1385</v>
      </c>
      <c r="B541" s="69"/>
      <c r="C541" s="69"/>
      <c r="D541" s="175"/>
      <c r="E541" s="829"/>
      <c r="G541" s="101"/>
      <c r="H541" s="830"/>
      <c r="I541" s="831"/>
      <c r="J541" s="831"/>
      <c r="K541" s="831"/>
      <c r="L541" s="831"/>
      <c r="M541" s="953"/>
      <c r="O541" s="831"/>
    </row>
    <row r="542" spans="2:15" s="22" customFormat="1" ht="12.75">
      <c r="B542" s="69"/>
      <c r="C542" s="69"/>
      <c r="D542" s="175"/>
      <c r="E542" s="829"/>
      <c r="G542" s="101"/>
      <c r="H542" s="830"/>
      <c r="I542" s="831"/>
      <c r="J542" s="831"/>
      <c r="K542" s="831"/>
      <c r="L542" s="831"/>
      <c r="M542" s="953"/>
      <c r="O542" s="831"/>
    </row>
    <row r="543" spans="1:15" s="22" customFormat="1" ht="12.75">
      <c r="A543" s="22" t="s">
        <v>475</v>
      </c>
      <c r="C543" s="69"/>
      <c r="D543" s="66"/>
      <c r="E543" s="70"/>
      <c r="G543" s="102"/>
      <c r="H543" s="23"/>
      <c r="I543" s="271"/>
      <c r="J543" s="271"/>
      <c r="K543" s="271"/>
      <c r="L543" s="271"/>
      <c r="M543" s="832"/>
      <c r="O543" s="271"/>
    </row>
    <row r="544" spans="1:15" ht="12.75">
      <c r="A544" s="20" t="s">
        <v>267</v>
      </c>
      <c r="D544" s="66"/>
      <c r="E544" s="70"/>
      <c r="H544" s="23"/>
      <c r="I544" s="271"/>
      <c r="J544" s="271"/>
      <c r="K544" s="271"/>
      <c r="L544" s="271"/>
      <c r="M544" s="832"/>
      <c r="O544" s="271"/>
    </row>
    <row r="545" spans="1:16" ht="12.75">
      <c r="A545" s="20" t="s">
        <v>268</v>
      </c>
      <c r="B545" s="21">
        <v>2682.9532800000006</v>
      </c>
      <c r="C545" s="65">
        <f aca="true" t="shared" si="128" ref="C545:E547">B545*1.1</f>
        <v>2951.248608000001</v>
      </c>
      <c r="D545" s="66">
        <f t="shared" si="128"/>
        <v>3246.3734688000013</v>
      </c>
      <c r="E545" s="66">
        <f t="shared" si="128"/>
        <v>3571.0108156800015</v>
      </c>
      <c r="F545" s="43">
        <f>(E545-D545)/D545</f>
        <v>0.10000000000000003</v>
      </c>
      <c r="G545" s="112">
        <v>4203.079730055362</v>
      </c>
      <c r="H545" s="66">
        <f aca="true" t="shared" si="129" ref="H545:I547">G545*1.06</f>
        <v>4455.264513858684</v>
      </c>
      <c r="I545" s="271">
        <f t="shared" si="129"/>
        <v>4722.580384690205</v>
      </c>
      <c r="J545" s="271">
        <f aca="true" t="shared" si="130" ref="J545:K547">(I545*$M$12)+I545</f>
        <v>5005.935207771618</v>
      </c>
      <c r="K545" s="271">
        <f t="shared" si="130"/>
        <v>5306.291320237915</v>
      </c>
      <c r="L545" s="271">
        <f>(K545*M545)+K545</f>
        <v>5624.66879945219</v>
      </c>
      <c r="M545" s="832">
        <f>$M$7</f>
        <v>0.06</v>
      </c>
      <c r="O545" s="271">
        <f>(L545*$O$7)+L545</f>
        <v>5962.148927419321</v>
      </c>
      <c r="P545" s="271">
        <f>(O545*$P$7)+O545</f>
        <v>6319.87786306448</v>
      </c>
    </row>
    <row r="546" spans="1:16" ht="12.75">
      <c r="A546" s="20" t="s">
        <v>269</v>
      </c>
      <c r="B546" s="21">
        <v>1162.2009600000001</v>
      </c>
      <c r="C546" s="65">
        <f t="shared" si="128"/>
        <v>1278.4210560000001</v>
      </c>
      <c r="D546" s="66">
        <f t="shared" si="128"/>
        <v>1406.2631616000003</v>
      </c>
      <c r="E546" s="66">
        <f t="shared" si="128"/>
        <v>1546.8894777600005</v>
      </c>
      <c r="F546" s="43">
        <f>(E546-D546)/D546</f>
        <v>0.10000000000000013</v>
      </c>
      <c r="G546" s="112">
        <v>1820.688915323521</v>
      </c>
      <c r="H546" s="66">
        <f t="shared" si="129"/>
        <v>1929.9302502429325</v>
      </c>
      <c r="I546" s="271">
        <f t="shared" si="129"/>
        <v>2045.7260652575085</v>
      </c>
      <c r="J546" s="271">
        <f t="shared" si="130"/>
        <v>2168.469629172959</v>
      </c>
      <c r="K546" s="271">
        <f t="shared" si="130"/>
        <v>2298.5778069233365</v>
      </c>
      <c r="L546" s="271">
        <f>(K546*M546)+K546</f>
        <v>2436.4924753387368</v>
      </c>
      <c r="M546" s="832">
        <f>$M$7</f>
        <v>0.06</v>
      </c>
      <c r="O546" s="271">
        <f>(L546*$O$7)+L546</f>
        <v>2582.682023859061</v>
      </c>
      <c r="P546" s="271">
        <f>(O546*$P$7)+O546</f>
        <v>2737.6429452906045</v>
      </c>
    </row>
    <row r="547" spans="1:16" ht="12.75">
      <c r="A547" s="20" t="s">
        <v>270</v>
      </c>
      <c r="B547" s="21">
        <v>519.2812800000002</v>
      </c>
      <c r="C547" s="65">
        <f t="shared" si="128"/>
        <v>571.2094080000002</v>
      </c>
      <c r="D547" s="66">
        <f t="shared" si="128"/>
        <v>628.3303488000003</v>
      </c>
      <c r="E547" s="66">
        <f t="shared" si="128"/>
        <v>691.1633836800004</v>
      </c>
      <c r="F547" s="43">
        <f>(E547-D547)/D547</f>
        <v>0.10000000000000016</v>
      </c>
      <c r="G547" s="112">
        <v>813.4993025913606</v>
      </c>
      <c r="H547" s="66">
        <f t="shared" si="129"/>
        <v>862.3092607468423</v>
      </c>
      <c r="I547" s="271">
        <f t="shared" si="129"/>
        <v>914.0478163916529</v>
      </c>
      <c r="J547" s="271">
        <f t="shared" si="130"/>
        <v>968.8906853751521</v>
      </c>
      <c r="K547" s="271">
        <f t="shared" si="130"/>
        <v>1027.0241264976612</v>
      </c>
      <c r="L547" s="271">
        <f>(K547*M547)+K547</f>
        <v>1088.6455740875208</v>
      </c>
      <c r="M547" s="832">
        <f>$M$7</f>
        <v>0.06</v>
      </c>
      <c r="O547" s="271">
        <f>(L547*$O$7)+L547</f>
        <v>1153.964308532772</v>
      </c>
      <c r="P547" s="271">
        <f>(O547*$P$7)+O547</f>
        <v>1223.2021670447384</v>
      </c>
    </row>
    <row r="548" spans="1:15" ht="30" customHeight="1">
      <c r="A548" s="541" t="s">
        <v>278</v>
      </c>
      <c r="B548" s="21"/>
      <c r="D548" s="66"/>
      <c r="E548" s="70"/>
      <c r="H548" s="23"/>
      <c r="I548" s="271"/>
      <c r="J548" s="271"/>
      <c r="K548" s="271"/>
      <c r="L548" s="271"/>
      <c r="M548" s="832"/>
      <c r="O548" s="271"/>
    </row>
    <row r="549" spans="2:15" ht="12.75">
      <c r="B549" s="21"/>
      <c r="C549" s="65"/>
      <c r="D549" s="66"/>
      <c r="E549" s="66"/>
      <c r="F549" s="43"/>
      <c r="G549" s="112"/>
      <c r="H549" s="112"/>
      <c r="I549" s="271"/>
      <c r="J549" s="271"/>
      <c r="K549" s="271"/>
      <c r="L549" s="271"/>
      <c r="M549" s="832"/>
      <c r="O549" s="271"/>
    </row>
    <row r="550" spans="1:15" s="22" customFormat="1" ht="12.75">
      <c r="A550" s="22" t="s">
        <v>279</v>
      </c>
      <c r="C550" s="69"/>
      <c r="D550" s="66"/>
      <c r="E550" s="70"/>
      <c r="G550" s="102"/>
      <c r="H550" s="23"/>
      <c r="I550" s="271"/>
      <c r="J550" s="271"/>
      <c r="K550" s="271"/>
      <c r="L550" s="271"/>
      <c r="M550" s="832"/>
      <c r="O550" s="271"/>
    </row>
    <row r="551" spans="1:16" ht="12.75">
      <c r="A551" s="20" t="s">
        <v>268</v>
      </c>
      <c r="B551" s="21">
        <v>927.2880000000001</v>
      </c>
      <c r="C551" s="65">
        <f aca="true" t="shared" si="131" ref="C551:E553">B551*1.1</f>
        <v>1020.0168000000002</v>
      </c>
      <c r="D551" s="66">
        <f t="shared" si="131"/>
        <v>1122.0184800000004</v>
      </c>
      <c r="E551" s="66">
        <f t="shared" si="131"/>
        <v>1234.2203280000006</v>
      </c>
      <c r="F551" s="43">
        <f>(E551-D551)/D551</f>
        <v>0.1000000000000001</v>
      </c>
      <c r="G551" s="112">
        <v>1452.6773260560008</v>
      </c>
      <c r="H551" s="66">
        <f aca="true" t="shared" si="132" ref="H551:I553">G551*1.06</f>
        <v>1539.8379656193608</v>
      </c>
      <c r="I551" s="271">
        <f t="shared" si="132"/>
        <v>1632.2282435565226</v>
      </c>
      <c r="J551" s="271">
        <f aca="true" t="shared" si="133" ref="J551:K553">(I551*$M$12)+I551</f>
        <v>1730.1619381699138</v>
      </c>
      <c r="K551" s="271">
        <f t="shared" si="133"/>
        <v>1833.9716544601085</v>
      </c>
      <c r="L551" s="271">
        <f>(K551*M551)+K551</f>
        <v>1944.0099537277151</v>
      </c>
      <c r="M551" s="832">
        <f>$M$7</f>
        <v>0.06</v>
      </c>
      <c r="O551" s="271">
        <f>(L551*$O$7)+L551</f>
        <v>2060.650550951378</v>
      </c>
      <c r="P551" s="271">
        <f>(O551*$P$7)+O551</f>
        <v>2184.2895840084607</v>
      </c>
    </row>
    <row r="552" spans="1:16" ht="12.75">
      <c r="A552" s="20" t="s">
        <v>269</v>
      </c>
      <c r="B552" s="21">
        <v>519.2812800000002</v>
      </c>
      <c r="C552" s="65">
        <f t="shared" si="131"/>
        <v>571.2094080000002</v>
      </c>
      <c r="D552" s="66">
        <f t="shared" si="131"/>
        <v>628.3303488000003</v>
      </c>
      <c r="E552" s="66">
        <f t="shared" si="131"/>
        <v>691.1633836800004</v>
      </c>
      <c r="F552" s="43">
        <f>(E552-D552)/D552</f>
        <v>0.10000000000000016</v>
      </c>
      <c r="G552" s="112">
        <v>813.4993025913606</v>
      </c>
      <c r="H552" s="112">
        <f t="shared" si="132"/>
        <v>862.3092607468423</v>
      </c>
      <c r="I552" s="271">
        <f t="shared" si="132"/>
        <v>914.0478163916529</v>
      </c>
      <c r="J552" s="271">
        <f t="shared" si="133"/>
        <v>968.8906853751521</v>
      </c>
      <c r="K552" s="271">
        <f t="shared" si="133"/>
        <v>1027.0241264976612</v>
      </c>
      <c r="L552" s="271">
        <f>(K552*M552)+K552</f>
        <v>1088.6455740875208</v>
      </c>
      <c r="M552" s="832">
        <f>$M$7</f>
        <v>0.06</v>
      </c>
      <c r="O552" s="271">
        <f>(L552*$O$7)+L552</f>
        <v>1153.964308532772</v>
      </c>
      <c r="P552" s="271">
        <f>(O552*$P$7)+O552</f>
        <v>1223.2021670447384</v>
      </c>
    </row>
    <row r="553" spans="1:16" ht="12.75">
      <c r="A553" s="20" t="s">
        <v>270</v>
      </c>
      <c r="B553" s="21">
        <v>272.00448000000006</v>
      </c>
      <c r="C553" s="65">
        <f t="shared" si="131"/>
        <v>299.2049280000001</v>
      </c>
      <c r="D553" s="66">
        <f t="shared" si="131"/>
        <v>329.12542080000014</v>
      </c>
      <c r="E553" s="66">
        <f t="shared" si="131"/>
        <v>362.0379628800002</v>
      </c>
      <c r="F553" s="43">
        <f>(E553-D553)/D553</f>
        <v>0.10000000000000007</v>
      </c>
      <c r="G553" s="112">
        <v>426.11868230976023</v>
      </c>
      <c r="H553" s="112">
        <f t="shared" si="132"/>
        <v>451.68580324834585</v>
      </c>
      <c r="I553" s="271">
        <f t="shared" si="132"/>
        <v>478.7869514432466</v>
      </c>
      <c r="J553" s="271">
        <f t="shared" si="133"/>
        <v>507.5141685298414</v>
      </c>
      <c r="K553" s="271">
        <f t="shared" si="133"/>
        <v>537.9650186416319</v>
      </c>
      <c r="L553" s="271">
        <f>(K553*M553)+K553</f>
        <v>570.2429197601298</v>
      </c>
      <c r="M553" s="832">
        <f>$M$7</f>
        <v>0.06</v>
      </c>
      <c r="O553" s="271">
        <f>(L553*$O$7)+L553</f>
        <v>604.4574949457376</v>
      </c>
      <c r="P553" s="271">
        <f>(O553*$P$7)+O553</f>
        <v>640.7249446424819</v>
      </c>
    </row>
    <row r="554" spans="2:16" ht="12.75">
      <c r="B554" s="21"/>
      <c r="C554" s="65"/>
      <c r="D554" s="66"/>
      <c r="E554" s="66"/>
      <c r="F554" s="43"/>
      <c r="G554" s="112"/>
      <c r="H554" s="112"/>
      <c r="I554" s="271"/>
      <c r="J554" s="271"/>
      <c r="K554" s="271"/>
      <c r="L554" s="271"/>
      <c r="M554" s="832"/>
      <c r="O554" s="271"/>
      <c r="P554" s="271"/>
    </row>
    <row r="555" spans="1:15" s="22" customFormat="1" ht="12.75">
      <c r="A555" s="22" t="s">
        <v>280</v>
      </c>
      <c r="C555" s="69"/>
      <c r="D555" s="66"/>
      <c r="E555" s="70"/>
      <c r="G555" s="102"/>
      <c r="H555" s="23"/>
      <c r="I555" s="271"/>
      <c r="J555" s="271"/>
      <c r="K555" s="271"/>
      <c r="L555" s="271"/>
      <c r="M555" s="832"/>
      <c r="O555" s="271"/>
    </row>
    <row r="556" spans="1:16" ht="12.75">
      <c r="A556" s="20" t="s">
        <v>268</v>
      </c>
      <c r="B556" s="21">
        <v>2423.31264</v>
      </c>
      <c r="C556" s="65">
        <f aca="true" t="shared" si="134" ref="C556:E558">B556*1.1</f>
        <v>2665.6439040000005</v>
      </c>
      <c r="D556" s="66">
        <f t="shared" si="134"/>
        <v>2932.208294400001</v>
      </c>
      <c r="E556" s="66">
        <f t="shared" si="134"/>
        <v>3225.429123840001</v>
      </c>
      <c r="F556" s="43">
        <f>(E556-D556)/D556</f>
        <v>0.10000000000000005</v>
      </c>
      <c r="G556" s="112">
        <v>3796.330078759682</v>
      </c>
      <c r="H556" s="66">
        <f aca="true" t="shared" si="135" ref="H556:I558">G556*1.06</f>
        <v>4024.109883485263</v>
      </c>
      <c r="I556" s="271">
        <f t="shared" si="135"/>
        <v>4265.556476494378</v>
      </c>
      <c r="J556" s="271">
        <f aca="true" t="shared" si="136" ref="J556:K558">(I556*$M$12)+I556</f>
        <v>4521.489865084041</v>
      </c>
      <c r="K556" s="271">
        <f t="shared" si="136"/>
        <v>4792.7792569890835</v>
      </c>
      <c r="L556" s="271">
        <f>(K556*M556)+K556</f>
        <v>5080.346012408429</v>
      </c>
      <c r="M556" s="832">
        <f>$M$7</f>
        <v>0.06</v>
      </c>
      <c r="O556" s="271">
        <f>(L556*$O$7)+L556</f>
        <v>5385.166773152934</v>
      </c>
      <c r="P556" s="271">
        <f>(O556*$P$7)+O556</f>
        <v>5708.2767795421105</v>
      </c>
    </row>
    <row r="557" spans="1:16" ht="12.75">
      <c r="A557" s="20" t="s">
        <v>269</v>
      </c>
      <c r="B557" s="21">
        <v>927.2880000000001</v>
      </c>
      <c r="C557" s="65">
        <f t="shared" si="134"/>
        <v>1020.0168000000002</v>
      </c>
      <c r="D557" s="66">
        <f t="shared" si="134"/>
        <v>1122.0184800000004</v>
      </c>
      <c r="E557" s="66">
        <f t="shared" si="134"/>
        <v>1234.2203280000006</v>
      </c>
      <c r="F557" s="43">
        <f>(E557-D557)/D557</f>
        <v>0.1000000000000001</v>
      </c>
      <c r="G557" s="112">
        <v>1452.6773260560008</v>
      </c>
      <c r="H557" s="66">
        <f t="shared" si="135"/>
        <v>1539.8379656193608</v>
      </c>
      <c r="I557" s="271">
        <f t="shared" si="135"/>
        <v>1632.2282435565226</v>
      </c>
      <c r="J557" s="271">
        <f t="shared" si="136"/>
        <v>1730.1619381699138</v>
      </c>
      <c r="K557" s="271">
        <f t="shared" si="136"/>
        <v>1833.9716544601085</v>
      </c>
      <c r="L557" s="271">
        <f>(K557*M557)+K557</f>
        <v>1944.0099537277151</v>
      </c>
      <c r="M557" s="832">
        <f>$M$7</f>
        <v>0.06</v>
      </c>
      <c r="O557" s="271">
        <f>(L557*$O$7)+L557</f>
        <v>2060.650550951378</v>
      </c>
      <c r="P557" s="271">
        <f>(O557*$P$7)+O557</f>
        <v>2184.2895840084607</v>
      </c>
    </row>
    <row r="558" spans="1:16" ht="12.75">
      <c r="A558" s="20" t="s">
        <v>270</v>
      </c>
      <c r="B558" s="21">
        <v>519.2812800000002</v>
      </c>
      <c r="C558" s="65">
        <f t="shared" si="134"/>
        <v>571.2094080000002</v>
      </c>
      <c r="D558" s="66">
        <f t="shared" si="134"/>
        <v>628.3303488000003</v>
      </c>
      <c r="E558" s="66">
        <f t="shared" si="134"/>
        <v>691.1633836800004</v>
      </c>
      <c r="F558" s="43">
        <f>(E558-D558)/D558</f>
        <v>0.10000000000000016</v>
      </c>
      <c r="G558" s="112">
        <v>813.4993025913606</v>
      </c>
      <c r="H558" s="112">
        <f t="shared" si="135"/>
        <v>862.3092607468423</v>
      </c>
      <c r="I558" s="271">
        <f t="shared" si="135"/>
        <v>914.0478163916529</v>
      </c>
      <c r="J558" s="271">
        <f t="shared" si="136"/>
        <v>968.8906853751521</v>
      </c>
      <c r="K558" s="271">
        <f t="shared" si="136"/>
        <v>1027.0241264976612</v>
      </c>
      <c r="L558" s="271">
        <f>(K558*M558)+K558</f>
        <v>1088.6455740875208</v>
      </c>
      <c r="M558" s="832">
        <f>$M$7</f>
        <v>0.06</v>
      </c>
      <c r="O558" s="271">
        <f>(L558*$O$7)+L558</f>
        <v>1153.964308532772</v>
      </c>
      <c r="P558" s="271">
        <f>(O558*$P$7)+O558</f>
        <v>1223.2021670447384</v>
      </c>
    </row>
    <row r="559" spans="2:15" ht="12.75">
      <c r="B559" s="21"/>
      <c r="C559" s="65"/>
      <c r="D559" s="66"/>
      <c r="E559" s="66"/>
      <c r="F559" s="43"/>
      <c r="G559" s="112"/>
      <c r="H559" s="112"/>
      <c r="I559" s="271"/>
      <c r="J559" s="271"/>
      <c r="K559" s="271"/>
      <c r="L559" s="271"/>
      <c r="M559" s="832"/>
      <c r="O559" s="271"/>
    </row>
    <row r="560" spans="1:15" s="22" customFormat="1" ht="12.75">
      <c r="A560" s="22" t="s">
        <v>281</v>
      </c>
      <c r="C560" s="69"/>
      <c r="D560" s="66"/>
      <c r="E560" s="70"/>
      <c r="G560" s="102"/>
      <c r="H560" s="112"/>
      <c r="I560" s="271"/>
      <c r="J560" s="271"/>
      <c r="K560" s="271"/>
      <c r="L560" s="271"/>
      <c r="M560" s="832"/>
      <c r="O560" s="271"/>
    </row>
    <row r="561" spans="1:16" ht="12.75">
      <c r="A561" s="20" t="s">
        <v>268</v>
      </c>
      <c r="B561" s="21">
        <v>1644.3907200000003</v>
      </c>
      <c r="C561" s="65">
        <f aca="true" t="shared" si="137" ref="C561:E563">B561*1.1</f>
        <v>1808.8297920000005</v>
      </c>
      <c r="D561" s="66">
        <f t="shared" si="137"/>
        <v>1989.7127712000006</v>
      </c>
      <c r="E561" s="66">
        <f t="shared" si="137"/>
        <v>2188.684048320001</v>
      </c>
      <c r="F561" s="43">
        <f>(E561-D561)/D561</f>
        <v>0.10000000000000007</v>
      </c>
      <c r="G561" s="112">
        <v>2576.0811248726413</v>
      </c>
      <c r="H561" s="66">
        <f aca="true" t="shared" si="138" ref="H561:I563">G561*1.06</f>
        <v>2730.645992365</v>
      </c>
      <c r="I561" s="271">
        <f t="shared" si="138"/>
        <v>2894.4847519069003</v>
      </c>
      <c r="J561" s="271">
        <f aca="true" t="shared" si="139" ref="J561:K563">(I561*$M$12)+I561</f>
        <v>3068.1538370213143</v>
      </c>
      <c r="K561" s="271">
        <f t="shared" si="139"/>
        <v>3252.243067242593</v>
      </c>
      <c r="L561" s="271">
        <f>(K561*M561)+K561</f>
        <v>3447.3776512771487</v>
      </c>
      <c r="M561" s="832">
        <f>$M$7</f>
        <v>0.06</v>
      </c>
      <c r="O561" s="271">
        <f>(L561*$O$7)+L561</f>
        <v>3654.2203103537777</v>
      </c>
      <c r="P561" s="271">
        <f>(O561*$P$7)+O561</f>
        <v>3873.4735289750042</v>
      </c>
    </row>
    <row r="562" spans="1:16" ht="12.75">
      <c r="A562" s="20" t="s">
        <v>269</v>
      </c>
      <c r="B562" s="21">
        <v>1112.7456000000002</v>
      </c>
      <c r="C562" s="65">
        <f t="shared" si="137"/>
        <v>1224.0201600000003</v>
      </c>
      <c r="D562" s="66">
        <f t="shared" si="137"/>
        <v>1346.4221760000005</v>
      </c>
      <c r="E562" s="66">
        <f t="shared" si="137"/>
        <v>1481.0643936000006</v>
      </c>
      <c r="F562" s="43">
        <f>(E562-D562)/D562</f>
        <v>0.10000000000000003</v>
      </c>
      <c r="G562" s="112">
        <v>1743.2127912672008</v>
      </c>
      <c r="H562" s="66">
        <f t="shared" si="138"/>
        <v>1847.805558743233</v>
      </c>
      <c r="I562" s="271">
        <f t="shared" si="138"/>
        <v>1958.6738922678271</v>
      </c>
      <c r="J562" s="271">
        <f t="shared" si="139"/>
        <v>2076.194325803897</v>
      </c>
      <c r="K562" s="271">
        <f t="shared" si="139"/>
        <v>2200.765985352131</v>
      </c>
      <c r="L562" s="271">
        <f>(K562*M562)+K562</f>
        <v>2332.811944473259</v>
      </c>
      <c r="M562" s="832">
        <f>$M$7</f>
        <v>0.06</v>
      </c>
      <c r="O562" s="271">
        <f>(L562*$O$7)+L562</f>
        <v>2472.7806611416545</v>
      </c>
      <c r="P562" s="271">
        <f>(O562*$P$7)+O562</f>
        <v>2621.147500810154</v>
      </c>
    </row>
    <row r="563" spans="1:16" ht="12.75">
      <c r="A563" s="20" t="s">
        <v>270</v>
      </c>
      <c r="B563" s="21">
        <v>927.2880000000001</v>
      </c>
      <c r="C563" s="65">
        <f t="shared" si="137"/>
        <v>1020.0168000000002</v>
      </c>
      <c r="D563" s="66">
        <f t="shared" si="137"/>
        <v>1122.0184800000004</v>
      </c>
      <c r="E563" s="66">
        <f t="shared" si="137"/>
        <v>1234.2203280000006</v>
      </c>
      <c r="F563" s="43">
        <f>(E563-D563)/D563</f>
        <v>0.1000000000000001</v>
      </c>
      <c r="G563" s="112">
        <v>1452.6773260560008</v>
      </c>
      <c r="H563" s="66">
        <f t="shared" si="138"/>
        <v>1539.8379656193608</v>
      </c>
      <c r="I563" s="271">
        <f t="shared" si="138"/>
        <v>1632.2282435565226</v>
      </c>
      <c r="J563" s="271">
        <f t="shared" si="139"/>
        <v>1730.1619381699138</v>
      </c>
      <c r="K563" s="271">
        <f t="shared" si="139"/>
        <v>1833.9716544601085</v>
      </c>
      <c r="L563" s="271">
        <f>(K563*M563)+K563</f>
        <v>1944.0099537277151</v>
      </c>
      <c r="M563" s="832">
        <f>$M$7</f>
        <v>0.06</v>
      </c>
      <c r="O563" s="271">
        <f>(L563*$O$7)+L563</f>
        <v>2060.650550951378</v>
      </c>
      <c r="P563" s="271">
        <f>(O563*$P$7)+O563</f>
        <v>2184.2895840084607</v>
      </c>
    </row>
    <row r="564" spans="2:15" ht="12.75">
      <c r="B564" s="21"/>
      <c r="C564" s="65"/>
      <c r="D564" s="66"/>
      <c r="E564" s="66"/>
      <c r="F564" s="43"/>
      <c r="G564" s="112"/>
      <c r="H564" s="112"/>
      <c r="I564" s="271"/>
      <c r="J564" s="271"/>
      <c r="K564" s="271"/>
      <c r="L564" s="271"/>
      <c r="M564" s="832"/>
      <c r="O564" s="271"/>
    </row>
    <row r="565" spans="1:15" s="22" customFormat="1" ht="12.75">
      <c r="A565" s="22" t="s">
        <v>281</v>
      </c>
      <c r="C565" s="69"/>
      <c r="D565" s="66"/>
      <c r="E565" s="70"/>
      <c r="G565" s="102"/>
      <c r="H565" s="112"/>
      <c r="I565" s="271"/>
      <c r="J565" s="271"/>
      <c r="K565" s="271"/>
      <c r="L565" s="271"/>
      <c r="M565" s="832"/>
      <c r="O565" s="271"/>
    </row>
    <row r="566" spans="1:16" ht="12.75">
      <c r="A566" s="20" t="s">
        <v>268</v>
      </c>
      <c r="B566" s="21">
        <v>1644.3907200000003</v>
      </c>
      <c r="C566" s="65">
        <f aca="true" t="shared" si="140" ref="C566:E568">B566*1.1</f>
        <v>1808.8297920000005</v>
      </c>
      <c r="D566" s="66">
        <f t="shared" si="140"/>
        <v>1989.7127712000006</v>
      </c>
      <c r="E566" s="66">
        <f t="shared" si="140"/>
        <v>2188.684048320001</v>
      </c>
      <c r="F566" s="43">
        <f>(E566-D566)/D566</f>
        <v>0.10000000000000007</v>
      </c>
      <c r="G566" s="112">
        <v>2576.0811248726413</v>
      </c>
      <c r="H566" s="66">
        <f aca="true" t="shared" si="141" ref="H566:I568">G566*1.06</f>
        <v>2730.645992365</v>
      </c>
      <c r="I566" s="271">
        <f t="shared" si="141"/>
        <v>2894.4847519069003</v>
      </c>
      <c r="J566" s="271">
        <f aca="true" t="shared" si="142" ref="J566:K568">(I566*$M$12)+I566</f>
        <v>3068.1538370213143</v>
      </c>
      <c r="K566" s="271">
        <f t="shared" si="142"/>
        <v>3252.243067242593</v>
      </c>
      <c r="L566" s="271">
        <f>(K566*M566)+K566</f>
        <v>3447.3776512771487</v>
      </c>
      <c r="M566" s="832">
        <f>$M$7</f>
        <v>0.06</v>
      </c>
      <c r="O566" s="271">
        <f>(L566*$O$7)+L566</f>
        <v>3654.2203103537777</v>
      </c>
      <c r="P566" s="271">
        <f>(O566*$P$7)+O566</f>
        <v>3873.4735289750042</v>
      </c>
    </row>
    <row r="567" spans="1:16" ht="12.75">
      <c r="A567" s="20" t="s">
        <v>269</v>
      </c>
      <c r="B567" s="21">
        <v>1112.7456000000002</v>
      </c>
      <c r="C567" s="65">
        <f t="shared" si="140"/>
        <v>1224.0201600000003</v>
      </c>
      <c r="D567" s="66">
        <f t="shared" si="140"/>
        <v>1346.4221760000005</v>
      </c>
      <c r="E567" s="66">
        <f t="shared" si="140"/>
        <v>1481.0643936000006</v>
      </c>
      <c r="F567" s="43">
        <f>(E567-D567)/D567</f>
        <v>0.10000000000000003</v>
      </c>
      <c r="G567" s="112">
        <v>1743.2127912672008</v>
      </c>
      <c r="H567" s="66">
        <f t="shared" si="141"/>
        <v>1847.805558743233</v>
      </c>
      <c r="I567" s="271">
        <f t="shared" si="141"/>
        <v>1958.6738922678271</v>
      </c>
      <c r="J567" s="271">
        <f t="shared" si="142"/>
        <v>2076.194325803897</v>
      </c>
      <c r="K567" s="271">
        <f t="shared" si="142"/>
        <v>2200.765985352131</v>
      </c>
      <c r="L567" s="271">
        <f>(K567*M567)+K567</f>
        <v>2332.811944473259</v>
      </c>
      <c r="M567" s="832">
        <f>$M$7</f>
        <v>0.06</v>
      </c>
      <c r="O567" s="271">
        <f>(L567*$O$7)+L567</f>
        <v>2472.7806611416545</v>
      </c>
      <c r="P567" s="271">
        <f>(O567*$P$7)+O567</f>
        <v>2621.147500810154</v>
      </c>
    </row>
    <row r="568" spans="1:16" ht="12.75">
      <c r="A568" s="20" t="s">
        <v>270</v>
      </c>
      <c r="B568" s="21">
        <v>927.2880000000001</v>
      </c>
      <c r="C568" s="65">
        <f t="shared" si="140"/>
        <v>1020.0168000000002</v>
      </c>
      <c r="D568" s="66">
        <f t="shared" si="140"/>
        <v>1122.0184800000004</v>
      </c>
      <c r="E568" s="66">
        <f t="shared" si="140"/>
        <v>1234.2203280000006</v>
      </c>
      <c r="F568" s="43">
        <f>(E568-D568)/D568</f>
        <v>0.1000000000000001</v>
      </c>
      <c r="G568" s="112">
        <v>1452.6773260560008</v>
      </c>
      <c r="H568" s="66">
        <f t="shared" si="141"/>
        <v>1539.8379656193608</v>
      </c>
      <c r="I568" s="271">
        <f t="shared" si="141"/>
        <v>1632.2282435565226</v>
      </c>
      <c r="J568" s="271">
        <f t="shared" si="142"/>
        <v>1730.1619381699138</v>
      </c>
      <c r="K568" s="271">
        <f t="shared" si="142"/>
        <v>1833.9716544601085</v>
      </c>
      <c r="L568" s="271">
        <f>(K568*M568)+K568</f>
        <v>1944.0099537277151</v>
      </c>
      <c r="M568" s="832">
        <f>$M$7</f>
        <v>0.06</v>
      </c>
      <c r="O568" s="271">
        <f>(L568*$O$7)+L568</f>
        <v>2060.650550951378</v>
      </c>
      <c r="P568" s="271">
        <f>(O568*$P$7)+O568</f>
        <v>2184.2895840084607</v>
      </c>
    </row>
    <row r="569" spans="2:15" ht="12.75">
      <c r="B569" s="21"/>
      <c r="C569" s="65"/>
      <c r="D569" s="66"/>
      <c r="E569" s="66"/>
      <c r="F569" s="43"/>
      <c r="G569" s="112"/>
      <c r="H569" s="112"/>
      <c r="I569" s="271"/>
      <c r="J569" s="271"/>
      <c r="K569" s="271"/>
      <c r="L569" s="271"/>
      <c r="M569" s="832"/>
      <c r="O569" s="271"/>
    </row>
    <row r="570" spans="1:15" s="22" customFormat="1" ht="12.75">
      <c r="A570" s="22" t="s">
        <v>476</v>
      </c>
      <c r="C570" s="69"/>
      <c r="D570" s="66"/>
      <c r="E570" s="70"/>
      <c r="G570" s="102"/>
      <c r="H570" s="112"/>
      <c r="I570" s="271"/>
      <c r="J570" s="271"/>
      <c r="K570" s="271"/>
      <c r="L570" s="271"/>
      <c r="M570" s="832"/>
      <c r="O570" s="271"/>
    </row>
    <row r="571" spans="1:16" ht="12.75">
      <c r="A571" s="20" t="s">
        <v>268</v>
      </c>
      <c r="B571" s="21">
        <v>1236.3840000000002</v>
      </c>
      <c r="C571" s="65">
        <f aca="true" t="shared" si="143" ref="C571:E573">B571*1.1</f>
        <v>1360.0224000000003</v>
      </c>
      <c r="D571" s="66">
        <f t="shared" si="143"/>
        <v>1496.0246400000005</v>
      </c>
      <c r="E571" s="66">
        <f t="shared" si="143"/>
        <v>1645.6271040000008</v>
      </c>
      <c r="F571" s="43">
        <f>(E571-D571)/D571</f>
        <v>0.10000000000000016</v>
      </c>
      <c r="G571" s="112">
        <v>1936.9031014080012</v>
      </c>
      <c r="H571" s="66">
        <f aca="true" t="shared" si="144" ref="H571:I573">G571*1.06</f>
        <v>2053.1172874924814</v>
      </c>
      <c r="I571" s="271">
        <f t="shared" si="144"/>
        <v>2176.3043247420305</v>
      </c>
      <c r="J571" s="271">
        <f aca="true" t="shared" si="145" ref="J571:K573">(I571*$M$12)+I571</f>
        <v>2306.8825842265524</v>
      </c>
      <c r="K571" s="271">
        <f t="shared" si="145"/>
        <v>2445.2955392801455</v>
      </c>
      <c r="L571" s="271">
        <f>(K571*M571)+K571</f>
        <v>2592.0132716369544</v>
      </c>
      <c r="M571" s="832">
        <f>$M$7</f>
        <v>0.06</v>
      </c>
      <c r="O571" s="271">
        <f>(L571*$O$7)+L571</f>
        <v>2747.5340679351716</v>
      </c>
      <c r="P571" s="271">
        <f>(O571*$P$7)+O571</f>
        <v>2912.386112011282</v>
      </c>
    </row>
    <row r="572" spans="1:16" ht="12.75">
      <c r="A572" s="20" t="s">
        <v>269</v>
      </c>
      <c r="B572" s="21">
        <v>1112.7456000000002</v>
      </c>
      <c r="C572" s="65">
        <f t="shared" si="143"/>
        <v>1224.0201600000003</v>
      </c>
      <c r="D572" s="66">
        <f t="shared" si="143"/>
        <v>1346.4221760000005</v>
      </c>
      <c r="E572" s="66">
        <f t="shared" si="143"/>
        <v>1481.0643936000006</v>
      </c>
      <c r="F572" s="43">
        <f>(E572-D572)/D572</f>
        <v>0.10000000000000003</v>
      </c>
      <c r="G572" s="112">
        <v>1743.2127912672008</v>
      </c>
      <c r="H572" s="66">
        <f t="shared" si="144"/>
        <v>1847.805558743233</v>
      </c>
      <c r="I572" s="271">
        <f t="shared" si="144"/>
        <v>1958.6738922678271</v>
      </c>
      <c r="J572" s="271">
        <f t="shared" si="145"/>
        <v>2076.194325803897</v>
      </c>
      <c r="K572" s="271">
        <f t="shared" si="145"/>
        <v>2200.765985352131</v>
      </c>
      <c r="L572" s="271">
        <f>(K572*M572)+K572</f>
        <v>2332.811944473259</v>
      </c>
      <c r="M572" s="832">
        <f>$M$7</f>
        <v>0.06</v>
      </c>
      <c r="O572" s="271">
        <f>(L572*$O$7)+L572</f>
        <v>2472.7806611416545</v>
      </c>
      <c r="P572" s="271">
        <f>(O572*$P$7)+O572</f>
        <v>2621.147500810154</v>
      </c>
    </row>
    <row r="573" spans="1:16" ht="12.75">
      <c r="A573" s="20" t="s">
        <v>270</v>
      </c>
      <c r="B573" s="21">
        <v>989.1072000000001</v>
      </c>
      <c r="C573" s="65">
        <f t="shared" si="143"/>
        <v>1088.0179200000002</v>
      </c>
      <c r="D573" s="66">
        <f t="shared" si="143"/>
        <v>1196.8197120000004</v>
      </c>
      <c r="E573" s="66">
        <f t="shared" si="143"/>
        <v>1316.5016832000006</v>
      </c>
      <c r="F573" s="43">
        <f>(E573-D573)/D573</f>
        <v>0.10000000000000007</v>
      </c>
      <c r="G573" s="112">
        <v>1549.5224811264009</v>
      </c>
      <c r="H573" s="66">
        <f t="shared" si="144"/>
        <v>1642.493829993985</v>
      </c>
      <c r="I573" s="271">
        <f t="shared" si="144"/>
        <v>1741.0434597936242</v>
      </c>
      <c r="J573" s="271">
        <f t="shared" si="145"/>
        <v>1845.5060673812416</v>
      </c>
      <c r="K573" s="271">
        <f t="shared" si="145"/>
        <v>1956.236431424116</v>
      </c>
      <c r="L573" s="271">
        <f>(K573*M573)+K573</f>
        <v>2073.610617309563</v>
      </c>
      <c r="M573" s="832">
        <f>$M$7</f>
        <v>0.06</v>
      </c>
      <c r="O573" s="271">
        <f>(L573*$O$7)+L573</f>
        <v>2198.027254348137</v>
      </c>
      <c r="P573" s="271">
        <f>(O573*$P$7)+O573</f>
        <v>2329.908889609025</v>
      </c>
    </row>
    <row r="574" spans="2:16" ht="12.75">
      <c r="B574" s="21"/>
      <c r="C574" s="65"/>
      <c r="D574" s="66"/>
      <c r="E574" s="66"/>
      <c r="F574" s="43"/>
      <c r="G574" s="112"/>
      <c r="H574" s="66"/>
      <c r="I574" s="271"/>
      <c r="J574" s="271"/>
      <c r="K574" s="271"/>
      <c r="L574" s="271"/>
      <c r="M574" s="832"/>
      <c r="O574" s="271"/>
      <c r="P574" s="271"/>
    </row>
    <row r="575" spans="1:15" s="22" customFormat="1" ht="12.75">
      <c r="A575" s="22" t="s">
        <v>1386</v>
      </c>
      <c r="B575" s="69"/>
      <c r="C575" s="82"/>
      <c r="D575" s="175"/>
      <c r="E575" s="175"/>
      <c r="F575" s="84"/>
      <c r="G575" s="841"/>
      <c r="H575" s="841"/>
      <c r="I575" s="831"/>
      <c r="J575" s="831"/>
      <c r="K575" s="831"/>
      <c r="L575" s="831"/>
      <c r="M575" s="953"/>
      <c r="O575" s="831"/>
    </row>
    <row r="576" spans="1:16" ht="12.75">
      <c r="A576" s="20" t="s">
        <v>1176</v>
      </c>
      <c r="D576" s="66"/>
      <c r="E576" s="70"/>
      <c r="H576" s="112"/>
      <c r="I576" s="271"/>
      <c r="J576" s="271">
        <v>18.24</v>
      </c>
      <c r="K576" s="271">
        <v>100</v>
      </c>
      <c r="L576" s="271">
        <f>(K576*M576)+K576</f>
        <v>106</v>
      </c>
      <c r="M576" s="959">
        <f>$M$7</f>
        <v>0.06</v>
      </c>
      <c r="O576" s="271">
        <f>(L576*$O$7)+L576</f>
        <v>112.36</v>
      </c>
      <c r="P576" s="271">
        <f>(O576*$P$7)+O576</f>
        <v>119.1016</v>
      </c>
    </row>
    <row r="577" spans="1:16" ht="12.75">
      <c r="A577" s="20" t="s">
        <v>1177</v>
      </c>
      <c r="D577" s="66"/>
      <c r="E577" s="70"/>
      <c r="H577" s="112"/>
      <c r="I577" s="271"/>
      <c r="J577" s="271">
        <v>18.24</v>
      </c>
      <c r="K577" s="271">
        <v>50</v>
      </c>
      <c r="L577" s="271">
        <f>(K577*M577)+K577</f>
        <v>53</v>
      </c>
      <c r="M577" s="959">
        <f>$M$7</f>
        <v>0.06</v>
      </c>
      <c r="O577" s="271">
        <f>(L577*$O$7)+L577</f>
        <v>56.18</v>
      </c>
      <c r="P577" s="271">
        <f>(O577*$P$7)+O577</f>
        <v>59.5508</v>
      </c>
    </row>
    <row r="578" spans="2:15" ht="12.75">
      <c r="B578" s="21"/>
      <c r="C578" s="65"/>
      <c r="D578" s="66"/>
      <c r="E578" s="66"/>
      <c r="F578" s="43"/>
      <c r="G578" s="112"/>
      <c r="H578" s="112"/>
      <c r="I578" s="271"/>
      <c r="J578" s="271"/>
      <c r="K578" s="271"/>
      <c r="L578" s="271"/>
      <c r="M578" s="832"/>
      <c r="O578" s="271"/>
    </row>
    <row r="579" spans="1:16" ht="12.75">
      <c r="A579" s="22" t="s">
        <v>781</v>
      </c>
      <c r="B579" s="21"/>
      <c r="C579" s="65"/>
      <c r="D579" s="66">
        <v>98</v>
      </c>
      <c r="E579" s="66">
        <v>98</v>
      </c>
      <c r="F579" s="43">
        <v>0</v>
      </c>
      <c r="G579" s="112">
        <v>113.24880000000002</v>
      </c>
      <c r="H579" s="112">
        <f aca="true" t="shared" si="146" ref="H579:H612">G579*1.06</f>
        <v>120.04372800000003</v>
      </c>
      <c r="I579" s="271">
        <f>H579*1.06</f>
        <v>127.24635168000003</v>
      </c>
      <c r="J579" s="271">
        <f>(I579*$M$12)+I579</f>
        <v>134.88113278080004</v>
      </c>
      <c r="K579" s="271">
        <f aca="true" t="shared" si="147" ref="K579:K589">(J579*$M$12)+J579</f>
        <v>142.97400074764803</v>
      </c>
      <c r="L579" s="271">
        <f aca="true" t="shared" si="148" ref="L579:L612">(K579*M579)+K579</f>
        <v>151.55244079250693</v>
      </c>
      <c r="M579" s="832">
        <f>$M$7</f>
        <v>0.06</v>
      </c>
      <c r="O579" s="271">
        <f>(L579*$O$7)+L579</f>
        <v>160.64558724005735</v>
      </c>
      <c r="P579" s="271">
        <f aca="true" t="shared" si="149" ref="P579:P612">(O579*$P$7)+O579</f>
        <v>170.2843224744608</v>
      </c>
    </row>
    <row r="580" spans="2:15" ht="12.75">
      <c r="B580" s="21"/>
      <c r="C580" s="65"/>
      <c r="D580" s="66"/>
      <c r="E580" s="66"/>
      <c r="F580" s="43"/>
      <c r="G580" s="112"/>
      <c r="H580" s="112"/>
      <c r="I580" s="271"/>
      <c r="J580" s="271"/>
      <c r="K580" s="271"/>
      <c r="L580" s="271"/>
      <c r="M580" s="832"/>
      <c r="O580" s="271"/>
    </row>
    <row r="581" spans="1:15" s="22" customFormat="1" ht="12.75">
      <c r="A581" s="22" t="s">
        <v>364</v>
      </c>
      <c r="C581" s="69"/>
      <c r="D581" s="66"/>
      <c r="E581" s="70"/>
      <c r="G581" s="112"/>
      <c r="H581" s="112"/>
      <c r="I581" s="271"/>
      <c r="J581" s="271"/>
      <c r="K581" s="271"/>
      <c r="L581" s="271"/>
      <c r="M581" s="832"/>
      <c r="O581" s="271"/>
    </row>
    <row r="582" spans="1:16" ht="12.75">
      <c r="A582" s="20" t="s">
        <v>152</v>
      </c>
      <c r="B582" s="21">
        <v>98.91072000000003</v>
      </c>
      <c r="C582" s="65">
        <f aca="true" t="shared" si="150" ref="C582:D589">B582*1.1</f>
        <v>108.80179200000003</v>
      </c>
      <c r="D582" s="66">
        <f t="shared" si="150"/>
        <v>119.68197120000005</v>
      </c>
      <c r="E582" s="70">
        <f>D582*1.1</f>
        <v>131.65016832000006</v>
      </c>
      <c r="F582" s="43">
        <f aca="true" t="shared" si="151" ref="F582:F589">(E582-D582)/D582</f>
        <v>0.10000000000000007</v>
      </c>
      <c r="G582" s="112">
        <v>152.1349345105921</v>
      </c>
      <c r="H582" s="112">
        <f t="shared" si="146"/>
        <v>161.26303058122764</v>
      </c>
      <c r="I582" s="271">
        <f>H582*1.06</f>
        <v>170.9388124161013</v>
      </c>
      <c r="J582" s="271">
        <f aca="true" t="shared" si="152" ref="J582:J589">(I582*$M$12)+I582</f>
        <v>181.1951411610674</v>
      </c>
      <c r="K582" s="271">
        <f t="shared" si="147"/>
        <v>192.06684963073144</v>
      </c>
      <c r="L582" s="271">
        <f t="shared" si="148"/>
        <v>203.59086060857533</v>
      </c>
      <c r="M582" s="832">
        <f aca="true" t="shared" si="153" ref="M582:M589">$M$7</f>
        <v>0.06</v>
      </c>
      <c r="O582" s="271">
        <f aca="true" t="shared" si="154" ref="O582:O589">(L582*$O$7)+L582</f>
        <v>215.80631224508986</v>
      </c>
      <c r="P582" s="271">
        <f t="shared" si="149"/>
        <v>228.75469097979524</v>
      </c>
    </row>
    <row r="583" spans="1:16" ht="12.75">
      <c r="A583" s="20" t="s">
        <v>153</v>
      </c>
      <c r="B583" s="21">
        <v>68.00112000000001</v>
      </c>
      <c r="C583" s="65">
        <f t="shared" si="150"/>
        <v>74.80123200000003</v>
      </c>
      <c r="D583" s="66">
        <f t="shared" si="150"/>
        <v>82.28135520000004</v>
      </c>
      <c r="E583" s="70">
        <f aca="true" t="shared" si="155" ref="E583:E589">D583*1.1</f>
        <v>90.50949072000004</v>
      </c>
      <c r="F583" s="43">
        <f t="shared" si="151"/>
        <v>0.10000000000000007</v>
      </c>
      <c r="G583" s="112">
        <v>104.59276747603207</v>
      </c>
      <c r="H583" s="112">
        <f t="shared" si="146"/>
        <v>110.868333524594</v>
      </c>
      <c r="I583" s="271">
        <f>H583*1.06</f>
        <v>117.52043353606963</v>
      </c>
      <c r="J583" s="271">
        <f t="shared" si="152"/>
        <v>124.57165954823381</v>
      </c>
      <c r="K583" s="271">
        <f t="shared" si="147"/>
        <v>132.04595912112785</v>
      </c>
      <c r="L583" s="271">
        <f t="shared" si="148"/>
        <v>139.96871666839553</v>
      </c>
      <c r="M583" s="832">
        <f t="shared" si="153"/>
        <v>0.06</v>
      </c>
      <c r="O583" s="271">
        <f t="shared" si="154"/>
        <v>148.36683966849927</v>
      </c>
      <c r="P583" s="271">
        <f t="shared" si="149"/>
        <v>157.2688500486092</v>
      </c>
    </row>
    <row r="584" spans="1:16" ht="12.75">
      <c r="A584" s="20" t="s">
        <v>154</v>
      </c>
      <c r="B584" s="21">
        <v>655.2835200000002</v>
      </c>
      <c r="C584" s="65">
        <f t="shared" si="150"/>
        <v>720.8118720000002</v>
      </c>
      <c r="D584" s="66">
        <f t="shared" si="150"/>
        <v>792.8930592000003</v>
      </c>
      <c r="E584" s="70">
        <f t="shared" si="155"/>
        <v>872.1823651200003</v>
      </c>
      <c r="F584" s="43">
        <f t="shared" si="151"/>
        <v>0.10000000000000005</v>
      </c>
      <c r="G584" s="112">
        <v>1007.8939411326725</v>
      </c>
      <c r="H584" s="66">
        <f t="shared" si="146"/>
        <v>1068.3675776006328</v>
      </c>
      <c r="I584" s="271">
        <f aca="true" t="shared" si="156" ref="I584:I611">H584*1.06</f>
        <v>1132.4696322566708</v>
      </c>
      <c r="J584" s="271">
        <f t="shared" si="152"/>
        <v>1200.417810192071</v>
      </c>
      <c r="K584" s="271">
        <f t="shared" si="147"/>
        <v>1272.4428788035952</v>
      </c>
      <c r="L584" s="271">
        <f t="shared" si="148"/>
        <v>1348.789451531811</v>
      </c>
      <c r="M584" s="832">
        <f t="shared" si="153"/>
        <v>0.06</v>
      </c>
      <c r="O584" s="271">
        <f t="shared" si="154"/>
        <v>1429.7168186237195</v>
      </c>
      <c r="P584" s="271">
        <f t="shared" si="149"/>
        <v>1515.4998277411428</v>
      </c>
    </row>
    <row r="585" spans="1:16" ht="12.75">
      <c r="A585" s="20" t="s">
        <v>1017</v>
      </c>
      <c r="B585" s="21">
        <v>395.6428800000001</v>
      </c>
      <c r="C585" s="65">
        <f t="shared" si="150"/>
        <v>435.20716800000014</v>
      </c>
      <c r="D585" s="66">
        <f t="shared" si="150"/>
        <v>478.7278848000002</v>
      </c>
      <c r="E585" s="70">
        <f t="shared" si="155"/>
        <v>526.6006732800003</v>
      </c>
      <c r="F585" s="43">
        <f t="shared" si="151"/>
        <v>0.10000000000000007</v>
      </c>
      <c r="G585" s="112">
        <v>608.5397380423684</v>
      </c>
      <c r="H585" s="66">
        <f t="shared" si="146"/>
        <v>645.0521223249106</v>
      </c>
      <c r="I585" s="271">
        <f t="shared" si="156"/>
        <v>683.7552496644053</v>
      </c>
      <c r="J585" s="271">
        <f t="shared" si="152"/>
        <v>724.7805646442696</v>
      </c>
      <c r="K585" s="271">
        <f t="shared" si="147"/>
        <v>768.2673985229258</v>
      </c>
      <c r="L585" s="271">
        <f t="shared" si="148"/>
        <v>814.3634424343013</v>
      </c>
      <c r="M585" s="832">
        <f t="shared" si="153"/>
        <v>0.06</v>
      </c>
      <c r="O585" s="271">
        <f t="shared" si="154"/>
        <v>863.2252489803594</v>
      </c>
      <c r="P585" s="271">
        <f t="shared" si="149"/>
        <v>915.018763919181</v>
      </c>
    </row>
    <row r="586" spans="1:16" ht="12.75">
      <c r="A586" s="20" t="s">
        <v>155</v>
      </c>
      <c r="B586" s="21">
        <v>136.00224000000003</v>
      </c>
      <c r="C586" s="65">
        <f t="shared" si="150"/>
        <v>149.60246400000005</v>
      </c>
      <c r="D586" s="66">
        <f t="shared" si="150"/>
        <v>164.56271040000007</v>
      </c>
      <c r="E586" s="70">
        <f t="shared" si="155"/>
        <v>181.0189814400001</v>
      </c>
      <c r="F586" s="43">
        <f t="shared" si="151"/>
        <v>0.10000000000000007</v>
      </c>
      <c r="G586" s="112">
        <v>209.18553495206413</v>
      </c>
      <c r="H586" s="66">
        <f t="shared" si="146"/>
        <v>221.736667049188</v>
      </c>
      <c r="I586" s="271">
        <f t="shared" si="156"/>
        <v>235.04086707213926</v>
      </c>
      <c r="J586" s="271">
        <f t="shared" si="152"/>
        <v>249.14331909646762</v>
      </c>
      <c r="K586" s="271">
        <f t="shared" si="147"/>
        <v>264.0919182422557</v>
      </c>
      <c r="L586" s="271">
        <f t="shared" si="148"/>
        <v>279.93743333679106</v>
      </c>
      <c r="M586" s="832">
        <f t="shared" si="153"/>
        <v>0.06</v>
      </c>
      <c r="O586" s="271">
        <f t="shared" si="154"/>
        <v>296.73367933699853</v>
      </c>
      <c r="P586" s="271">
        <f t="shared" si="149"/>
        <v>314.5377000972184</v>
      </c>
    </row>
    <row r="587" spans="1:16" ht="12.75">
      <c r="A587" s="20" t="s">
        <v>156</v>
      </c>
      <c r="B587" s="21">
        <v>655.2835200000002</v>
      </c>
      <c r="C587" s="65">
        <f t="shared" si="150"/>
        <v>720.8118720000002</v>
      </c>
      <c r="D587" s="66">
        <f t="shared" si="150"/>
        <v>792.8930592000003</v>
      </c>
      <c r="E587" s="70">
        <f t="shared" si="155"/>
        <v>872.1823651200003</v>
      </c>
      <c r="F587" s="43">
        <f t="shared" si="151"/>
        <v>0.10000000000000005</v>
      </c>
      <c r="G587" s="112">
        <v>1007.8939411326725</v>
      </c>
      <c r="H587" s="66">
        <f t="shared" si="146"/>
        <v>1068.3675776006328</v>
      </c>
      <c r="I587" s="271">
        <f t="shared" si="156"/>
        <v>1132.4696322566708</v>
      </c>
      <c r="J587" s="271">
        <f t="shared" si="152"/>
        <v>1200.417810192071</v>
      </c>
      <c r="K587" s="271">
        <f t="shared" si="147"/>
        <v>1272.4428788035952</v>
      </c>
      <c r="L587" s="271">
        <f t="shared" si="148"/>
        <v>1348.789451531811</v>
      </c>
      <c r="M587" s="832">
        <f t="shared" si="153"/>
        <v>0.06</v>
      </c>
      <c r="O587" s="271">
        <f t="shared" si="154"/>
        <v>1429.7168186237195</v>
      </c>
      <c r="P587" s="271">
        <f t="shared" si="149"/>
        <v>1515.4998277411428</v>
      </c>
    </row>
    <row r="588" spans="1:16" ht="12.75">
      <c r="A588" s="20" t="s">
        <v>157</v>
      </c>
      <c r="B588" s="21">
        <v>37.09152</v>
      </c>
      <c r="C588" s="65">
        <f t="shared" si="150"/>
        <v>40.800672000000006</v>
      </c>
      <c r="D588" s="66">
        <f t="shared" si="150"/>
        <v>44.88073920000001</v>
      </c>
      <c r="E588" s="70">
        <f t="shared" si="155"/>
        <v>49.36881312000001</v>
      </c>
      <c r="F588" s="43">
        <f t="shared" si="151"/>
        <v>0.10000000000000009</v>
      </c>
      <c r="G588" s="112">
        <v>57.05060044147202</v>
      </c>
      <c r="H588" s="66">
        <f t="shared" si="146"/>
        <v>60.47363646796035</v>
      </c>
      <c r="I588" s="271">
        <f t="shared" si="156"/>
        <v>64.10205465603796</v>
      </c>
      <c r="J588" s="271">
        <f t="shared" si="152"/>
        <v>67.94817793540024</v>
      </c>
      <c r="K588" s="271">
        <f t="shared" si="147"/>
        <v>72.02506861152425</v>
      </c>
      <c r="L588" s="271">
        <f t="shared" si="148"/>
        <v>76.3465727282157</v>
      </c>
      <c r="M588" s="832">
        <f t="shared" si="153"/>
        <v>0.06</v>
      </c>
      <c r="O588" s="271">
        <f t="shared" si="154"/>
        <v>80.92736709190865</v>
      </c>
      <c r="P588" s="271">
        <f t="shared" si="149"/>
        <v>85.78300911742316</v>
      </c>
    </row>
    <row r="589" spans="1:16" ht="12.75">
      <c r="A589" s="20" t="s">
        <v>158</v>
      </c>
      <c r="B589" s="21">
        <v>723.2846400000001</v>
      </c>
      <c r="C589" s="65">
        <f t="shared" si="150"/>
        <v>795.6131040000001</v>
      </c>
      <c r="D589" s="66">
        <f t="shared" si="150"/>
        <v>875.1744144000003</v>
      </c>
      <c r="E589" s="70">
        <f t="shared" si="155"/>
        <v>962.6918558400004</v>
      </c>
      <c r="F589" s="43">
        <f t="shared" si="151"/>
        <v>0.10000000000000006</v>
      </c>
      <c r="G589" s="112">
        <v>1112.4867086087047</v>
      </c>
      <c r="H589" s="66">
        <f t="shared" si="146"/>
        <v>1179.235911125227</v>
      </c>
      <c r="I589" s="271">
        <f t="shared" si="156"/>
        <v>1249.9900657927406</v>
      </c>
      <c r="J589" s="271">
        <f t="shared" si="152"/>
        <v>1324.989469740305</v>
      </c>
      <c r="K589" s="271">
        <f t="shared" si="147"/>
        <v>1404.4888379247232</v>
      </c>
      <c r="L589" s="271">
        <f t="shared" si="148"/>
        <v>1488.7581682002065</v>
      </c>
      <c r="M589" s="832">
        <f t="shared" si="153"/>
        <v>0.06</v>
      </c>
      <c r="O589" s="271">
        <f t="shared" si="154"/>
        <v>1578.0836582922188</v>
      </c>
      <c r="P589" s="271">
        <f t="shared" si="149"/>
        <v>1672.768677789752</v>
      </c>
    </row>
    <row r="590" spans="4:15" ht="12.75">
      <c r="D590" s="66"/>
      <c r="E590" s="70"/>
      <c r="H590" s="112"/>
      <c r="I590" s="271"/>
      <c r="J590" s="271"/>
      <c r="K590" s="271"/>
      <c r="L590" s="271"/>
      <c r="M590" s="832"/>
      <c r="O590" s="271"/>
    </row>
    <row r="591" spans="4:15" ht="12.75">
      <c r="D591" s="66"/>
      <c r="E591" s="70"/>
      <c r="H591" s="112"/>
      <c r="I591" s="271"/>
      <c r="J591" s="271"/>
      <c r="K591" s="271"/>
      <c r="L591" s="271"/>
      <c r="M591" s="832"/>
      <c r="O591" s="271"/>
    </row>
    <row r="592" spans="1:15" ht="12.75">
      <c r="A592" s="22" t="s">
        <v>1062</v>
      </c>
      <c r="B592" s="22"/>
      <c r="C592" s="69"/>
      <c r="D592" s="66"/>
      <c r="E592" s="70"/>
      <c r="F592" s="22"/>
      <c r="H592" s="112"/>
      <c r="I592" s="271"/>
      <c r="J592" s="271"/>
      <c r="K592" s="271"/>
      <c r="L592" s="271"/>
      <c r="M592" s="832"/>
      <c r="O592" s="271"/>
    </row>
    <row r="593" spans="1:15" ht="12.75">
      <c r="A593" s="22"/>
      <c r="B593" s="22"/>
      <c r="C593" s="69"/>
      <c r="D593" s="66"/>
      <c r="E593" s="70"/>
      <c r="F593" s="22"/>
      <c r="H593" s="112"/>
      <c r="I593" s="271"/>
      <c r="J593" s="271"/>
      <c r="K593" s="271"/>
      <c r="L593" s="271"/>
      <c r="M593" s="832"/>
      <c r="O593" s="271"/>
    </row>
    <row r="594" spans="1:15" ht="12.75">
      <c r="A594" s="22" t="s">
        <v>251</v>
      </c>
      <c r="B594" s="22"/>
      <c r="C594" s="69"/>
      <c r="D594" s="66"/>
      <c r="E594" s="70"/>
      <c r="F594" s="22"/>
      <c r="H594" s="112"/>
      <c r="I594" s="271"/>
      <c r="J594" s="271"/>
      <c r="K594" s="271"/>
      <c r="L594" s="271"/>
      <c r="M594" s="832"/>
      <c r="O594" s="271"/>
    </row>
    <row r="595" spans="1:16" ht="12.75">
      <c r="A595" s="20" t="s">
        <v>252</v>
      </c>
      <c r="B595" s="20">
        <v>58.32000000000001</v>
      </c>
      <c r="C595" s="66">
        <f aca="true" t="shared" si="157" ref="C595:D600">B595*1.1</f>
        <v>64.15200000000002</v>
      </c>
      <c r="D595" s="66">
        <f t="shared" si="157"/>
        <v>70.56720000000003</v>
      </c>
      <c r="E595" s="70">
        <f aca="true" t="shared" si="158" ref="E595:E600">D595*1.1</f>
        <v>77.62392000000004</v>
      </c>
      <c r="F595" s="43">
        <f aca="true" t="shared" si="159" ref="F595:F600">(E595-D595)/D595</f>
        <v>0.10000000000000014</v>
      </c>
      <c r="G595" s="112">
        <v>89.70220195200005</v>
      </c>
      <c r="H595" s="112">
        <f t="shared" si="146"/>
        <v>95.08433406912006</v>
      </c>
      <c r="I595" s="271">
        <f t="shared" si="156"/>
        <v>100.78939411326726</v>
      </c>
      <c r="J595" s="271">
        <f aca="true" t="shared" si="160" ref="J595:J600">(I595*$M$12)+I595</f>
        <v>106.83675776006329</v>
      </c>
      <c r="K595" s="271">
        <f>(J595*$M$12)+J595</f>
        <v>113.24696322566709</v>
      </c>
      <c r="L595" s="271">
        <f t="shared" si="148"/>
        <v>120.04178101920711</v>
      </c>
      <c r="M595" s="832">
        <f aca="true" t="shared" si="161" ref="M595:M600">$M$7</f>
        <v>0.06</v>
      </c>
      <c r="O595" s="271">
        <f aca="true" t="shared" si="162" ref="O595:O600">(L595*$O$7)+L595</f>
        <v>127.24428788035954</v>
      </c>
      <c r="P595" s="271">
        <f t="shared" si="149"/>
        <v>134.87894515318112</v>
      </c>
    </row>
    <row r="596" spans="1:16" ht="12.75">
      <c r="A596" s="20" t="s">
        <v>253</v>
      </c>
      <c r="B596" s="20">
        <v>58.32000000000001</v>
      </c>
      <c r="C596" s="66">
        <f t="shared" si="157"/>
        <v>64.15200000000002</v>
      </c>
      <c r="D596" s="66">
        <f t="shared" si="157"/>
        <v>70.56720000000003</v>
      </c>
      <c r="E596" s="70">
        <f t="shared" si="158"/>
        <v>77.62392000000004</v>
      </c>
      <c r="F596" s="43">
        <f t="shared" si="159"/>
        <v>0.10000000000000014</v>
      </c>
      <c r="G596" s="112">
        <v>89.70220195200005</v>
      </c>
      <c r="H596" s="112">
        <f t="shared" si="146"/>
        <v>95.08433406912006</v>
      </c>
      <c r="I596" s="271">
        <f t="shared" si="156"/>
        <v>100.78939411326726</v>
      </c>
      <c r="J596" s="271">
        <f t="shared" si="160"/>
        <v>106.83675776006329</v>
      </c>
      <c r="K596" s="271">
        <f>(J596*$M$12)+J596</f>
        <v>113.24696322566709</v>
      </c>
      <c r="L596" s="271">
        <f t="shared" si="148"/>
        <v>120.04178101920711</v>
      </c>
      <c r="M596" s="832">
        <f t="shared" si="161"/>
        <v>0.06</v>
      </c>
      <c r="O596" s="271">
        <f t="shared" si="162"/>
        <v>127.24428788035954</v>
      </c>
      <c r="P596" s="271">
        <f t="shared" si="149"/>
        <v>134.87894515318112</v>
      </c>
    </row>
    <row r="597" spans="1:16" ht="12.75">
      <c r="A597" s="20" t="s">
        <v>265</v>
      </c>
      <c r="B597" s="20">
        <v>34.99200000000001</v>
      </c>
      <c r="C597" s="66">
        <f t="shared" si="157"/>
        <v>38.49120000000001</v>
      </c>
      <c r="D597" s="66">
        <f t="shared" si="157"/>
        <v>42.34032000000002</v>
      </c>
      <c r="E597" s="70">
        <f t="shared" si="158"/>
        <v>46.574352000000026</v>
      </c>
      <c r="F597" s="43">
        <f t="shared" si="159"/>
        <v>0.1000000000000001</v>
      </c>
      <c r="G597" s="112">
        <v>53.82132117120004</v>
      </c>
      <c r="H597" s="112">
        <f t="shared" si="146"/>
        <v>57.05060044147204</v>
      </c>
      <c r="I597" s="271">
        <f>H597*1.06</f>
        <v>60.47363646796037</v>
      </c>
      <c r="J597" s="271">
        <f t="shared" si="160"/>
        <v>64.10205465603799</v>
      </c>
      <c r="K597" s="271">
        <f>(J597*$M$12)+J597</f>
        <v>67.94817793540027</v>
      </c>
      <c r="L597" s="271">
        <f t="shared" si="148"/>
        <v>72.02506861152429</v>
      </c>
      <c r="M597" s="832">
        <f t="shared" si="161"/>
        <v>0.06</v>
      </c>
      <c r="O597" s="271">
        <f t="shared" si="162"/>
        <v>76.34657272821575</v>
      </c>
      <c r="P597" s="271">
        <f t="shared" si="149"/>
        <v>80.92736709190869</v>
      </c>
    </row>
    <row r="598" spans="1:16" ht="12.75">
      <c r="A598" s="20" t="s">
        <v>254</v>
      </c>
      <c r="B598" s="20">
        <v>34.99200000000001</v>
      </c>
      <c r="C598" s="66">
        <f t="shared" si="157"/>
        <v>38.49120000000001</v>
      </c>
      <c r="D598" s="66">
        <f t="shared" si="157"/>
        <v>42.34032000000002</v>
      </c>
      <c r="E598" s="70">
        <f t="shared" si="158"/>
        <v>46.574352000000026</v>
      </c>
      <c r="F598" s="43">
        <f t="shared" si="159"/>
        <v>0.1000000000000001</v>
      </c>
      <c r="G598" s="112">
        <v>53.82132117120004</v>
      </c>
      <c r="H598" s="112">
        <f t="shared" si="146"/>
        <v>57.05060044147204</v>
      </c>
      <c r="I598" s="271">
        <f t="shared" si="156"/>
        <v>60.47363646796037</v>
      </c>
      <c r="J598" s="271">
        <f t="shared" si="160"/>
        <v>64.10205465603799</v>
      </c>
      <c r="K598" s="271">
        <f>(J598*$M$12)+J598</f>
        <v>67.94817793540027</v>
      </c>
      <c r="L598" s="271">
        <f t="shared" si="148"/>
        <v>72.02506861152429</v>
      </c>
      <c r="M598" s="832">
        <f t="shared" si="161"/>
        <v>0.06</v>
      </c>
      <c r="O598" s="271">
        <f t="shared" si="162"/>
        <v>76.34657272821575</v>
      </c>
      <c r="P598" s="271">
        <f t="shared" si="149"/>
        <v>80.92736709190869</v>
      </c>
    </row>
    <row r="599" spans="1:16" ht="12.75">
      <c r="A599" s="20" t="s">
        <v>249</v>
      </c>
      <c r="B599" s="21">
        <v>58.32000000000001</v>
      </c>
      <c r="C599" s="66">
        <f t="shared" si="157"/>
        <v>64.15200000000002</v>
      </c>
      <c r="D599" s="66">
        <f t="shared" si="157"/>
        <v>70.56720000000003</v>
      </c>
      <c r="E599" s="70">
        <f t="shared" si="158"/>
        <v>77.62392000000004</v>
      </c>
      <c r="F599" s="43">
        <f t="shared" si="159"/>
        <v>0.10000000000000014</v>
      </c>
      <c r="G599" s="112">
        <v>89.70220195200005</v>
      </c>
      <c r="H599" s="112">
        <f t="shared" si="146"/>
        <v>95.08433406912006</v>
      </c>
      <c r="I599" s="271">
        <f>H599</f>
        <v>95.08433406912006</v>
      </c>
      <c r="J599" s="271">
        <f t="shared" si="160"/>
        <v>100.78939411326726</v>
      </c>
      <c r="K599" s="271">
        <v>100.78939411326726</v>
      </c>
      <c r="L599" s="271">
        <f t="shared" si="148"/>
        <v>106.83675776006329</v>
      </c>
      <c r="M599" s="832">
        <f t="shared" si="161"/>
        <v>0.06</v>
      </c>
      <c r="O599" s="271">
        <f t="shared" si="162"/>
        <v>113.24696322566709</v>
      </c>
      <c r="P599" s="271">
        <f t="shared" si="149"/>
        <v>120.04178101920711</v>
      </c>
    </row>
    <row r="600" spans="1:16" ht="12.75">
      <c r="A600" s="20" t="s">
        <v>250</v>
      </c>
      <c r="B600" s="21">
        <v>87.48</v>
      </c>
      <c r="C600" s="66">
        <f t="shared" si="157"/>
        <v>96.22800000000001</v>
      </c>
      <c r="D600" s="66">
        <f t="shared" si="157"/>
        <v>105.85080000000002</v>
      </c>
      <c r="E600" s="70">
        <f t="shared" si="158"/>
        <v>116.43588000000003</v>
      </c>
      <c r="F600" s="43">
        <f t="shared" si="159"/>
        <v>0.10000000000000003</v>
      </c>
      <c r="G600" s="112">
        <v>134.55330292800005</v>
      </c>
      <c r="H600" s="112">
        <f t="shared" si="146"/>
        <v>142.62650110368006</v>
      </c>
      <c r="I600" s="271">
        <f>H600</f>
        <v>142.62650110368006</v>
      </c>
      <c r="J600" s="271">
        <f t="shared" si="160"/>
        <v>151.18409116990085</v>
      </c>
      <c r="K600" s="271">
        <v>151.18409116990085</v>
      </c>
      <c r="L600" s="271">
        <f t="shared" si="148"/>
        <v>160.25513664009492</v>
      </c>
      <c r="M600" s="832">
        <f t="shared" si="161"/>
        <v>0.06</v>
      </c>
      <c r="O600" s="271">
        <f t="shared" si="162"/>
        <v>169.87044483850062</v>
      </c>
      <c r="P600" s="271">
        <f t="shared" si="149"/>
        <v>180.06267152881065</v>
      </c>
    </row>
    <row r="601" spans="4:15" ht="12.75">
      <c r="D601" s="66"/>
      <c r="E601" s="70"/>
      <c r="F601" s="43"/>
      <c r="G601" s="112"/>
      <c r="H601" s="112"/>
      <c r="I601" s="271"/>
      <c r="J601" s="271"/>
      <c r="K601" s="271"/>
      <c r="L601" s="271"/>
      <c r="M601" s="832"/>
      <c r="O601" s="271"/>
    </row>
    <row r="602" spans="1:15" ht="12.75">
      <c r="A602" s="22" t="s">
        <v>255</v>
      </c>
      <c r="B602" s="22"/>
      <c r="D602" s="66"/>
      <c r="E602" s="70"/>
      <c r="F602" s="43"/>
      <c r="G602" s="112"/>
      <c r="H602" s="112"/>
      <c r="I602" s="271"/>
      <c r="J602" s="271"/>
      <c r="K602" s="271"/>
      <c r="L602" s="271"/>
      <c r="M602" s="832"/>
      <c r="O602" s="271"/>
    </row>
    <row r="603" spans="1:16" ht="12.75">
      <c r="A603" s="20" t="s">
        <v>256</v>
      </c>
      <c r="B603" s="20">
        <v>349.92</v>
      </c>
      <c r="C603" s="66">
        <f aca="true" t="shared" si="163" ref="C603:D612">B603*1.1</f>
        <v>384.91200000000003</v>
      </c>
      <c r="D603" s="66">
        <f t="shared" si="163"/>
        <v>423.4032000000001</v>
      </c>
      <c r="E603" s="66">
        <f>D603*1.1</f>
        <v>465.7435200000001</v>
      </c>
      <c r="F603" s="43">
        <f aca="true" t="shared" si="164" ref="F603:F612">(E603-D603)/D603</f>
        <v>0.10000000000000003</v>
      </c>
      <c r="G603" s="112">
        <v>538.2132117120002</v>
      </c>
      <c r="H603" s="112">
        <f t="shared" si="146"/>
        <v>570.5060044147202</v>
      </c>
      <c r="I603" s="271">
        <f t="shared" si="156"/>
        <v>604.7363646796034</v>
      </c>
      <c r="J603" s="271">
        <f aca="true" t="shared" si="165" ref="J603:J612">(I603*$M$12)+I603</f>
        <v>641.0205465603797</v>
      </c>
      <c r="K603" s="271">
        <f aca="true" t="shared" si="166" ref="K603:K612">(J603*$M$12)+J603</f>
        <v>679.4817793540025</v>
      </c>
      <c r="L603" s="271">
        <f t="shared" si="148"/>
        <v>720.2506861152426</v>
      </c>
      <c r="M603" s="832">
        <f aca="true" t="shared" si="167" ref="M603:M612">$M$7</f>
        <v>0.06</v>
      </c>
      <c r="O603" s="271">
        <f aca="true" t="shared" si="168" ref="O603:O612">(L603*$O$7)+L603</f>
        <v>763.4657272821572</v>
      </c>
      <c r="P603" s="271">
        <f t="shared" si="149"/>
        <v>809.2736709190866</v>
      </c>
    </row>
    <row r="604" spans="1:16" ht="12.75">
      <c r="A604" s="20" t="s">
        <v>257</v>
      </c>
      <c r="B604" s="20">
        <v>349.92</v>
      </c>
      <c r="C604" s="66">
        <f t="shared" si="163"/>
        <v>384.91200000000003</v>
      </c>
      <c r="D604" s="66">
        <f t="shared" si="163"/>
        <v>423.4032000000001</v>
      </c>
      <c r="E604" s="66">
        <f aca="true" t="shared" si="169" ref="E604:E612">D604*1.1</f>
        <v>465.7435200000001</v>
      </c>
      <c r="F604" s="43">
        <f t="shared" si="164"/>
        <v>0.10000000000000003</v>
      </c>
      <c r="G604" s="112">
        <v>538.2132117120002</v>
      </c>
      <c r="H604" s="112">
        <f t="shared" si="146"/>
        <v>570.5060044147202</v>
      </c>
      <c r="I604" s="271">
        <f t="shared" si="156"/>
        <v>604.7363646796034</v>
      </c>
      <c r="J604" s="271">
        <f t="shared" si="165"/>
        <v>641.0205465603797</v>
      </c>
      <c r="K604" s="271">
        <f t="shared" si="166"/>
        <v>679.4817793540025</v>
      </c>
      <c r="L604" s="271">
        <f t="shared" si="148"/>
        <v>720.2506861152426</v>
      </c>
      <c r="M604" s="832">
        <f t="shared" si="167"/>
        <v>0.06</v>
      </c>
      <c r="O604" s="271">
        <f t="shared" si="168"/>
        <v>763.4657272821572</v>
      </c>
      <c r="P604" s="271">
        <f t="shared" si="149"/>
        <v>809.2736709190866</v>
      </c>
    </row>
    <row r="605" spans="1:16" ht="12.75">
      <c r="A605" s="20" t="s">
        <v>258</v>
      </c>
      <c r="B605" s="20">
        <v>1749.6000000000001</v>
      </c>
      <c r="C605" s="66">
        <f t="shared" si="163"/>
        <v>1924.5600000000004</v>
      </c>
      <c r="D605" s="66">
        <f t="shared" si="163"/>
        <v>2117.0160000000005</v>
      </c>
      <c r="E605" s="66">
        <f t="shared" si="169"/>
        <v>2328.717600000001</v>
      </c>
      <c r="F605" s="43">
        <f t="shared" si="164"/>
        <v>0.10000000000000013</v>
      </c>
      <c r="G605" s="112">
        <v>2691.0660585600012</v>
      </c>
      <c r="H605" s="66">
        <f t="shared" si="146"/>
        <v>2852.5300220736012</v>
      </c>
      <c r="I605" s="271">
        <f t="shared" si="156"/>
        <v>3023.6818233980175</v>
      </c>
      <c r="J605" s="271">
        <f t="shared" si="165"/>
        <v>3205.1027328018986</v>
      </c>
      <c r="K605" s="271">
        <f t="shared" si="166"/>
        <v>3397.4088967700127</v>
      </c>
      <c r="L605" s="271">
        <f t="shared" si="148"/>
        <v>3601.2534305762133</v>
      </c>
      <c r="M605" s="832">
        <f t="shared" si="167"/>
        <v>0.06</v>
      </c>
      <c r="O605" s="271">
        <f t="shared" si="168"/>
        <v>3817.328636410786</v>
      </c>
      <c r="P605" s="271">
        <f t="shared" si="149"/>
        <v>4046.368354595433</v>
      </c>
    </row>
    <row r="606" spans="1:16" ht="12.75">
      <c r="A606" s="20" t="s">
        <v>259</v>
      </c>
      <c r="B606" s="20">
        <v>1749.6000000000001</v>
      </c>
      <c r="C606" s="66">
        <f t="shared" si="163"/>
        <v>1924.5600000000004</v>
      </c>
      <c r="D606" s="66">
        <f t="shared" si="163"/>
        <v>2117.0160000000005</v>
      </c>
      <c r="E606" s="66">
        <f t="shared" si="169"/>
        <v>2328.717600000001</v>
      </c>
      <c r="F606" s="43">
        <f t="shared" si="164"/>
        <v>0.10000000000000013</v>
      </c>
      <c r="G606" s="112">
        <v>2691.0660585600012</v>
      </c>
      <c r="H606" s="66">
        <f t="shared" si="146"/>
        <v>2852.5300220736012</v>
      </c>
      <c r="I606" s="271">
        <f t="shared" si="156"/>
        <v>3023.6818233980175</v>
      </c>
      <c r="J606" s="271">
        <f t="shared" si="165"/>
        <v>3205.1027328018986</v>
      </c>
      <c r="K606" s="271">
        <f t="shared" si="166"/>
        <v>3397.4088967700127</v>
      </c>
      <c r="L606" s="271">
        <f t="shared" si="148"/>
        <v>3601.2534305762133</v>
      </c>
      <c r="M606" s="832">
        <f t="shared" si="167"/>
        <v>0.06</v>
      </c>
      <c r="O606" s="271">
        <f t="shared" si="168"/>
        <v>3817.328636410786</v>
      </c>
      <c r="P606" s="271">
        <f t="shared" si="149"/>
        <v>4046.368354595433</v>
      </c>
    </row>
    <row r="607" spans="1:16" ht="12.75">
      <c r="A607" s="20" t="s">
        <v>260</v>
      </c>
      <c r="B607" s="20">
        <v>349.92</v>
      </c>
      <c r="C607" s="66">
        <f t="shared" si="163"/>
        <v>384.91200000000003</v>
      </c>
      <c r="D607" s="66">
        <f t="shared" si="163"/>
        <v>423.4032000000001</v>
      </c>
      <c r="E607" s="66">
        <f t="shared" si="169"/>
        <v>465.7435200000001</v>
      </c>
      <c r="F607" s="43">
        <f t="shared" si="164"/>
        <v>0.10000000000000003</v>
      </c>
      <c r="G607" s="112">
        <v>538.2132117120002</v>
      </c>
      <c r="H607" s="112">
        <f t="shared" si="146"/>
        <v>570.5060044147202</v>
      </c>
      <c r="I607" s="271">
        <f t="shared" si="156"/>
        <v>604.7363646796034</v>
      </c>
      <c r="J607" s="271">
        <f t="shared" si="165"/>
        <v>641.0205465603797</v>
      </c>
      <c r="K607" s="271">
        <f t="shared" si="166"/>
        <v>679.4817793540025</v>
      </c>
      <c r="L607" s="271">
        <f t="shared" si="148"/>
        <v>720.2506861152426</v>
      </c>
      <c r="M607" s="832">
        <f t="shared" si="167"/>
        <v>0.06</v>
      </c>
      <c r="O607" s="271">
        <f t="shared" si="168"/>
        <v>763.4657272821572</v>
      </c>
      <c r="P607" s="271">
        <f t="shared" si="149"/>
        <v>809.2736709190866</v>
      </c>
    </row>
    <row r="608" spans="1:16" ht="12.75">
      <c r="A608" s="20" t="s">
        <v>261</v>
      </c>
      <c r="B608" s="20">
        <v>349.92</v>
      </c>
      <c r="C608" s="66">
        <f t="shared" si="163"/>
        <v>384.91200000000003</v>
      </c>
      <c r="D608" s="66">
        <f t="shared" si="163"/>
        <v>423.4032000000001</v>
      </c>
      <c r="E608" s="66">
        <f t="shared" si="169"/>
        <v>465.7435200000001</v>
      </c>
      <c r="F608" s="43">
        <f t="shared" si="164"/>
        <v>0.10000000000000003</v>
      </c>
      <c r="G608" s="112">
        <v>538.2132117120002</v>
      </c>
      <c r="H608" s="112">
        <f t="shared" si="146"/>
        <v>570.5060044147202</v>
      </c>
      <c r="I608" s="271">
        <f t="shared" si="156"/>
        <v>604.7363646796034</v>
      </c>
      <c r="J608" s="271">
        <f t="shared" si="165"/>
        <v>641.0205465603797</v>
      </c>
      <c r="K608" s="271">
        <f t="shared" si="166"/>
        <v>679.4817793540025</v>
      </c>
      <c r="L608" s="271">
        <f t="shared" si="148"/>
        <v>720.2506861152426</v>
      </c>
      <c r="M608" s="832">
        <f t="shared" si="167"/>
        <v>0.06</v>
      </c>
      <c r="O608" s="271">
        <f t="shared" si="168"/>
        <v>763.4657272821572</v>
      </c>
      <c r="P608" s="271">
        <f t="shared" si="149"/>
        <v>809.2736709190866</v>
      </c>
    </row>
    <row r="609" spans="1:16" ht="12.75">
      <c r="A609" s="20" t="s">
        <v>262</v>
      </c>
      <c r="B609" s="20">
        <v>1749.6000000000001</v>
      </c>
      <c r="C609" s="66">
        <f t="shared" si="163"/>
        <v>1924.5600000000004</v>
      </c>
      <c r="D609" s="66">
        <f t="shared" si="163"/>
        <v>2117.0160000000005</v>
      </c>
      <c r="E609" s="66">
        <f t="shared" si="169"/>
        <v>2328.717600000001</v>
      </c>
      <c r="F609" s="43">
        <f t="shared" si="164"/>
        <v>0.10000000000000013</v>
      </c>
      <c r="G609" s="112">
        <v>2691.0660585600012</v>
      </c>
      <c r="H609" s="66">
        <f t="shared" si="146"/>
        <v>2852.5300220736012</v>
      </c>
      <c r="I609" s="271">
        <f t="shared" si="156"/>
        <v>3023.6818233980175</v>
      </c>
      <c r="J609" s="271">
        <f t="shared" si="165"/>
        <v>3205.1027328018986</v>
      </c>
      <c r="K609" s="271">
        <f t="shared" si="166"/>
        <v>3397.4088967700127</v>
      </c>
      <c r="L609" s="271">
        <f t="shared" si="148"/>
        <v>3601.2534305762133</v>
      </c>
      <c r="M609" s="832">
        <f t="shared" si="167"/>
        <v>0.06</v>
      </c>
      <c r="O609" s="271">
        <f t="shared" si="168"/>
        <v>3817.328636410786</v>
      </c>
      <c r="P609" s="271">
        <f t="shared" si="149"/>
        <v>4046.368354595433</v>
      </c>
    </row>
    <row r="610" spans="1:16" ht="12.75">
      <c r="A610" s="20" t="s">
        <v>263</v>
      </c>
      <c r="B610" s="20">
        <v>349.92</v>
      </c>
      <c r="C610" s="66">
        <f t="shared" si="163"/>
        <v>384.91200000000003</v>
      </c>
      <c r="D610" s="66">
        <f t="shared" si="163"/>
        <v>423.4032000000001</v>
      </c>
      <c r="E610" s="66">
        <f t="shared" si="169"/>
        <v>465.7435200000001</v>
      </c>
      <c r="F610" s="43">
        <f t="shared" si="164"/>
        <v>0.10000000000000003</v>
      </c>
      <c r="G610" s="112">
        <v>538.2132117120002</v>
      </c>
      <c r="H610" s="112">
        <f t="shared" si="146"/>
        <v>570.5060044147202</v>
      </c>
      <c r="I610" s="271">
        <f t="shared" si="156"/>
        <v>604.7363646796034</v>
      </c>
      <c r="J610" s="271">
        <f t="shared" si="165"/>
        <v>641.0205465603797</v>
      </c>
      <c r="K610" s="271">
        <f t="shared" si="166"/>
        <v>679.4817793540025</v>
      </c>
      <c r="L610" s="271">
        <f t="shared" si="148"/>
        <v>720.2506861152426</v>
      </c>
      <c r="M610" s="832">
        <f t="shared" si="167"/>
        <v>0.06</v>
      </c>
      <c r="O610" s="271">
        <f t="shared" si="168"/>
        <v>763.4657272821572</v>
      </c>
      <c r="P610" s="271">
        <f t="shared" si="149"/>
        <v>809.2736709190866</v>
      </c>
    </row>
    <row r="611" spans="1:16" ht="12.75">
      <c r="A611" s="20" t="s">
        <v>264</v>
      </c>
      <c r="B611" s="20">
        <v>349.92</v>
      </c>
      <c r="C611" s="66">
        <f t="shared" si="163"/>
        <v>384.91200000000003</v>
      </c>
      <c r="D611" s="66">
        <f t="shared" si="163"/>
        <v>423.4032000000001</v>
      </c>
      <c r="E611" s="66">
        <f t="shared" si="169"/>
        <v>465.7435200000001</v>
      </c>
      <c r="F611" s="43">
        <f t="shared" si="164"/>
        <v>0.10000000000000003</v>
      </c>
      <c r="G611" s="112">
        <v>538.2132117120002</v>
      </c>
      <c r="H611" s="112">
        <f t="shared" si="146"/>
        <v>570.5060044147202</v>
      </c>
      <c r="I611" s="271">
        <f t="shared" si="156"/>
        <v>604.7363646796034</v>
      </c>
      <c r="J611" s="271">
        <f t="shared" si="165"/>
        <v>641.0205465603797</v>
      </c>
      <c r="K611" s="271">
        <f t="shared" si="166"/>
        <v>679.4817793540025</v>
      </c>
      <c r="L611" s="271">
        <f t="shared" si="148"/>
        <v>720.2506861152426</v>
      </c>
      <c r="M611" s="832">
        <f t="shared" si="167"/>
        <v>0.06</v>
      </c>
      <c r="O611" s="271">
        <f t="shared" si="168"/>
        <v>763.4657272821572</v>
      </c>
      <c r="P611" s="271">
        <f t="shared" si="149"/>
        <v>809.2736709190866</v>
      </c>
    </row>
    <row r="612" spans="1:16" ht="12.75">
      <c r="A612" s="20" t="s">
        <v>265</v>
      </c>
      <c r="B612" s="20">
        <v>116.64000000000001</v>
      </c>
      <c r="C612" s="66">
        <f t="shared" si="163"/>
        <v>128.30400000000003</v>
      </c>
      <c r="D612" s="66">
        <f t="shared" si="163"/>
        <v>141.13440000000006</v>
      </c>
      <c r="E612" s="66">
        <f t="shared" si="169"/>
        <v>155.24784000000008</v>
      </c>
      <c r="F612" s="43">
        <f t="shared" si="164"/>
        <v>0.10000000000000014</v>
      </c>
      <c r="G612" s="112">
        <v>179.4044039040001</v>
      </c>
      <c r="H612" s="112">
        <f t="shared" si="146"/>
        <v>190.16866813824012</v>
      </c>
      <c r="I612" s="271">
        <f>H612</f>
        <v>190.16866813824012</v>
      </c>
      <c r="J612" s="271">
        <f t="shared" si="165"/>
        <v>201.57878822653453</v>
      </c>
      <c r="K612" s="271">
        <f t="shared" si="166"/>
        <v>213.67351552012659</v>
      </c>
      <c r="L612" s="271">
        <f t="shared" si="148"/>
        <v>226.49392645133418</v>
      </c>
      <c r="M612" s="832">
        <f t="shared" si="167"/>
        <v>0.06</v>
      </c>
      <c r="O612" s="271">
        <f t="shared" si="168"/>
        <v>240.08356203841421</v>
      </c>
      <c r="P612" s="271">
        <f t="shared" si="149"/>
        <v>254.48857576071907</v>
      </c>
    </row>
    <row r="613" spans="8:9" ht="12.75">
      <c r="H613" s="112"/>
      <c r="I613" s="288"/>
    </row>
    <row r="614" spans="1:9" ht="25.5">
      <c r="A614" s="541" t="s">
        <v>1170</v>
      </c>
      <c r="H614" s="112"/>
      <c r="I614" s="288"/>
    </row>
    <row r="615" spans="1:9" ht="14.25">
      <c r="A615" s="55"/>
      <c r="H615" s="112"/>
      <c r="I615" s="288"/>
    </row>
    <row r="616" spans="8:9" ht="12.75">
      <c r="H616" s="112"/>
      <c r="I616" s="288"/>
    </row>
    <row r="617" spans="8:9" ht="12.75">
      <c r="H617" s="112"/>
      <c r="I617" s="288"/>
    </row>
    <row r="618" spans="8:9" ht="12.75">
      <c r="H618" s="112"/>
      <c r="I618" s="288"/>
    </row>
  </sheetData>
  <sheetProtection/>
  <mergeCells count="4">
    <mergeCell ref="O50:O52"/>
    <mergeCell ref="O81:O84"/>
    <mergeCell ref="O87:O88"/>
    <mergeCell ref="K1:M1"/>
  </mergeCells>
  <printOptions gridLines="1"/>
  <pageMargins left="0.7086614173228347" right="0.7086614173228347" top="0.7480314960629921" bottom="0.7480314960629921" header="0.31496062992125984" footer="0.31496062992125984"/>
  <pageSetup horizontalDpi="600" verticalDpi="600" orientation="landscape" scale="50" r:id="rId3"/>
  <rowBreaks count="5" manualBreakCount="5">
    <brk id="340" max="15" man="1"/>
    <brk id="439" max="15" man="1"/>
    <brk id="470" max="15" man="1"/>
    <brk id="536" max="15" man="1"/>
    <brk id="589" max="15" man="1"/>
  </rowBreaks>
  <legacyDrawing r:id="rId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pane xSplit="1" ySplit="5" topLeftCell="B58" activePane="bottomRight" state="frozen"/>
      <selection pane="topLeft" activeCell="A1" sqref="A1"/>
      <selection pane="topRight" activeCell="G1" sqref="G1"/>
      <selection pane="bottomLeft" activeCell="A6" sqref="A6"/>
      <selection pane="bottomRight" activeCell="A71" sqref="A71"/>
    </sheetView>
  </sheetViews>
  <sheetFormatPr defaultColWidth="9.140625" defaultRowHeight="12.75"/>
  <cols>
    <col min="1" max="1" width="79.421875" style="116" customWidth="1"/>
    <col min="2" max="2" width="29.57421875" style="116" customWidth="1"/>
    <col min="3" max="4" width="14.57421875" style="116" customWidth="1"/>
    <col min="5" max="5" width="12.00390625" style="116" hidden="1" customWidth="1"/>
    <col min="6" max="6" width="13.140625" style="116" bestFit="1" customWidth="1"/>
    <col min="7" max="16384" width="9.140625" style="116" customWidth="1"/>
  </cols>
  <sheetData>
    <row r="1" spans="1:5" ht="15">
      <c r="A1" s="125" t="s">
        <v>832</v>
      </c>
      <c r="B1" s="127" t="s">
        <v>833</v>
      </c>
      <c r="C1" s="127" t="s">
        <v>834</v>
      </c>
      <c r="D1" s="127"/>
      <c r="E1" s="117"/>
    </row>
    <row r="2" spans="1:5" ht="13.5">
      <c r="A2" s="128"/>
      <c r="B2" s="129" t="s">
        <v>540</v>
      </c>
      <c r="C2" s="129" t="s">
        <v>540</v>
      </c>
      <c r="D2" s="129"/>
      <c r="E2" s="105"/>
    </row>
    <row r="3" spans="1:5" ht="13.5">
      <c r="A3" s="130"/>
      <c r="B3" s="131">
        <v>0.07</v>
      </c>
      <c r="C3" s="131">
        <v>0.0739</v>
      </c>
      <c r="D3" s="131"/>
      <c r="E3" s="105"/>
    </row>
    <row r="4" spans="1:6" ht="69.75" customHeight="1">
      <c r="A4" s="132" t="s">
        <v>311</v>
      </c>
      <c r="B4" s="133" t="s">
        <v>897</v>
      </c>
      <c r="C4" s="134" t="s">
        <v>898</v>
      </c>
      <c r="D4" s="135" t="s">
        <v>22</v>
      </c>
      <c r="E4" s="118" t="s">
        <v>896</v>
      </c>
      <c r="F4" s="119"/>
    </row>
    <row r="5" spans="1:5" ht="13.5">
      <c r="A5" s="126"/>
      <c r="B5" s="136" t="s">
        <v>807</v>
      </c>
      <c r="C5" s="136" t="s">
        <v>835</v>
      </c>
      <c r="D5" s="136"/>
      <c r="E5" s="120" t="s">
        <v>807</v>
      </c>
    </row>
    <row r="6" spans="1:4" s="105" customFormat="1" ht="13.5">
      <c r="A6" s="137"/>
      <c r="B6" s="137" t="s">
        <v>366</v>
      </c>
      <c r="C6" s="137" t="s">
        <v>366</v>
      </c>
      <c r="D6" s="137" t="s">
        <v>371</v>
      </c>
    </row>
    <row r="7" spans="1:5" ht="13.5">
      <c r="A7" s="138" t="s">
        <v>313</v>
      </c>
      <c r="B7" s="139">
        <v>0.0375</v>
      </c>
      <c r="C7" s="140">
        <f>B7*1.0747</f>
        <v>0.04030125</v>
      </c>
      <c r="D7" s="141">
        <f>(C7-B7)/B7</f>
        <v>0.07469999999999996</v>
      </c>
      <c r="E7" s="122">
        <v>0.07466666666666688</v>
      </c>
    </row>
    <row r="8" spans="1:5" ht="13.5">
      <c r="A8" s="126"/>
      <c r="B8" s="126"/>
      <c r="C8" s="126"/>
      <c r="D8" s="141"/>
      <c r="E8" s="123"/>
    </row>
    <row r="9" spans="1:5" ht="13.5">
      <c r="A9" s="142" t="s">
        <v>314</v>
      </c>
      <c r="B9" s="126"/>
      <c r="C9" s="126"/>
      <c r="D9" s="141"/>
      <c r="E9" s="123"/>
    </row>
    <row r="10" spans="1:5" ht="13.5">
      <c r="A10" s="143" t="s">
        <v>315</v>
      </c>
      <c r="B10" s="126"/>
      <c r="C10" s="126"/>
      <c r="D10" s="141"/>
      <c r="E10" s="123"/>
    </row>
    <row r="11" spans="1:5" ht="13.5">
      <c r="A11" s="143" t="s">
        <v>420</v>
      </c>
      <c r="B11" s="126"/>
      <c r="C11" s="126"/>
      <c r="D11" s="141"/>
      <c r="E11" s="123"/>
    </row>
    <row r="12" spans="1:5" ht="13.5">
      <c r="A12" s="128" t="s">
        <v>900</v>
      </c>
      <c r="B12" s="140">
        <v>1.1968</v>
      </c>
      <c r="C12" s="140">
        <f>B12*1.0739</f>
        <v>1.28524352</v>
      </c>
      <c r="D12" s="141">
        <f>(C12-B12)/B12</f>
        <v>0.0739</v>
      </c>
      <c r="E12" s="122">
        <v>0.07386363636363624</v>
      </c>
    </row>
    <row r="13" spans="1:5" ht="13.5">
      <c r="A13" s="128" t="s">
        <v>901</v>
      </c>
      <c r="B13" s="140">
        <v>1.4362</v>
      </c>
      <c r="C13" s="140">
        <f>B13*1.0739</f>
        <v>1.54233518</v>
      </c>
      <c r="D13" s="141">
        <f>(C13-B13)/B13</f>
        <v>0.07390000000000008</v>
      </c>
      <c r="E13" s="122">
        <v>0.07393729273439864</v>
      </c>
    </row>
    <row r="14" spans="1:5" ht="13.5">
      <c r="A14" s="128" t="s">
        <v>902</v>
      </c>
      <c r="B14" s="140">
        <v>1.6755</v>
      </c>
      <c r="C14" s="140">
        <f>B14*1.0739</f>
        <v>1.79931945</v>
      </c>
      <c r="D14" s="141">
        <f>(C14-B14)/B14</f>
        <v>0.07390000000000004</v>
      </c>
      <c r="E14" s="122">
        <v>0.07389697891762648</v>
      </c>
    </row>
    <row r="15" spans="1:4" ht="13.5">
      <c r="A15" s="126" t="s">
        <v>24</v>
      </c>
      <c r="B15" s="126"/>
      <c r="C15" s="126"/>
      <c r="D15" s="141"/>
    </row>
    <row r="16" spans="1:4" ht="13.5">
      <c r="A16" s="143" t="s">
        <v>421</v>
      </c>
      <c r="B16" s="126"/>
      <c r="C16" s="126"/>
      <c r="D16" s="141"/>
    </row>
    <row r="17" spans="1:6" ht="13.5">
      <c r="A17" s="128" t="s">
        <v>903</v>
      </c>
      <c r="B17" s="144" t="s">
        <v>891</v>
      </c>
      <c r="C17" s="140" t="e">
        <f>B17*1.0739</f>
        <v>#VALUE!</v>
      </c>
      <c r="D17" s="141" t="e">
        <f>(C17-B17)/B17</f>
        <v>#VALUE!</v>
      </c>
      <c r="E17" s="122">
        <v>0.0738844184345282</v>
      </c>
      <c r="F17" s="105"/>
    </row>
    <row r="18" spans="1:5" ht="13.5">
      <c r="A18" s="128" t="s">
        <v>904</v>
      </c>
      <c r="B18" s="140">
        <v>2.0599</v>
      </c>
      <c r="C18" s="140">
        <f>B18*1.0739</f>
        <v>2.21212661</v>
      </c>
      <c r="D18" s="141">
        <f>(C18-B18)/B18</f>
        <v>0.07390000000000002</v>
      </c>
      <c r="E18" s="122">
        <v>0.07390029325513203</v>
      </c>
    </row>
    <row r="19" spans="1:5" ht="13.5">
      <c r="A19" s="128" t="s">
        <v>905</v>
      </c>
      <c r="B19" s="140">
        <v>2.4032</v>
      </c>
      <c r="C19" s="140">
        <f>B19*1.0739</f>
        <v>2.58079648</v>
      </c>
      <c r="D19" s="141">
        <f>(C19-B19)/B19</f>
        <v>0.07390000000000002</v>
      </c>
      <c r="E19" s="122">
        <v>0.0739252995066948</v>
      </c>
    </row>
    <row r="20" spans="1:4" ht="12.75" customHeight="1">
      <c r="A20" s="126" t="s">
        <v>24</v>
      </c>
      <c r="B20" s="126"/>
      <c r="C20" s="126"/>
      <c r="D20" s="141"/>
    </row>
    <row r="21" spans="1:4" ht="24" customHeight="1">
      <c r="A21" s="143" t="s">
        <v>838</v>
      </c>
      <c r="B21" s="126"/>
      <c r="C21" s="126"/>
      <c r="D21" s="141"/>
    </row>
    <row r="22" spans="1:4" ht="13.5">
      <c r="A22" s="143"/>
      <c r="B22" s="126"/>
      <c r="C22" s="126"/>
      <c r="D22" s="141"/>
    </row>
    <row r="23" spans="1:6" ht="13.5">
      <c r="A23" s="128" t="s">
        <v>906</v>
      </c>
      <c r="B23" s="144" t="s">
        <v>892</v>
      </c>
      <c r="C23" s="140" t="e">
        <f>B23*1.0739</f>
        <v>#VALUE!</v>
      </c>
      <c r="D23" s="141" t="e">
        <f>(C23-B23)/B23</f>
        <v>#VALUE!</v>
      </c>
      <c r="E23" s="122">
        <v>0.07390817469204913</v>
      </c>
      <c r="F23" s="105"/>
    </row>
    <row r="24" spans="1:5" ht="13.5">
      <c r="A24" s="128" t="s">
        <v>907</v>
      </c>
      <c r="B24" s="140">
        <v>1.203</v>
      </c>
      <c r="C24" s="140">
        <f>B24*1.0739</f>
        <v>1.2919017000000002</v>
      </c>
      <c r="D24" s="141">
        <f>(C24-B24)/B24</f>
        <v>0.07390000000000006</v>
      </c>
      <c r="E24" s="122">
        <v>0.07392915980230641</v>
      </c>
    </row>
    <row r="25" spans="1:5" ht="13.5">
      <c r="A25" s="128" t="s">
        <v>908</v>
      </c>
      <c r="B25" s="140">
        <v>1.2956</v>
      </c>
      <c r="C25" s="140">
        <f>B25*1.0739</f>
        <v>1.3913448400000001</v>
      </c>
      <c r="D25" s="141">
        <f>(C25-B25)/B25</f>
        <v>0.07390000000000004</v>
      </c>
      <c r="E25" s="122">
        <v>0.07393162393162389</v>
      </c>
    </row>
    <row r="26" spans="1:5" ht="13.5">
      <c r="A26" s="128" t="s">
        <v>909</v>
      </c>
      <c r="B26" s="140">
        <v>1.4806</v>
      </c>
      <c r="C26" s="140">
        <f>B26*1.0739</f>
        <v>1.59001634</v>
      </c>
      <c r="D26" s="141">
        <f>(C26-B26)/B26</f>
        <v>0.07390000000000008</v>
      </c>
      <c r="E26" s="122">
        <v>0.07391304347826089</v>
      </c>
    </row>
    <row r="27" spans="1:4" ht="13.5">
      <c r="A27" s="126" t="s">
        <v>24</v>
      </c>
      <c r="B27" s="126"/>
      <c r="C27" s="126"/>
      <c r="D27" s="141"/>
    </row>
    <row r="28" spans="1:4" ht="13.5">
      <c r="A28" s="143" t="s">
        <v>318</v>
      </c>
      <c r="B28" s="126"/>
      <c r="C28" s="126"/>
      <c r="D28" s="141"/>
    </row>
    <row r="29" spans="1:4" ht="13.5">
      <c r="A29" s="143"/>
      <c r="B29" s="126"/>
      <c r="C29" s="126"/>
      <c r="D29" s="141"/>
    </row>
    <row r="30" spans="1:5" ht="13.5">
      <c r="A30" s="126" t="s">
        <v>839</v>
      </c>
      <c r="B30" s="140">
        <v>0.9524</v>
      </c>
      <c r="C30" s="140">
        <f>B30*1.0739</f>
        <v>1.0227823600000001</v>
      </c>
      <c r="D30" s="141">
        <f>(C30-B30)/B30</f>
        <v>0.07390000000000009</v>
      </c>
      <c r="E30" s="122">
        <v>0.07391852162956725</v>
      </c>
    </row>
    <row r="31" spans="1:5" ht="13.5">
      <c r="A31" s="126" t="s">
        <v>840</v>
      </c>
      <c r="B31" s="145">
        <v>3.65</v>
      </c>
      <c r="C31" s="140">
        <f>B31*1.074</f>
        <v>3.9201</v>
      </c>
      <c r="D31" s="141">
        <f>(C31-B31)/B31</f>
        <v>0.07400000000000007</v>
      </c>
      <c r="E31" s="122">
        <v>0.07397260273972606</v>
      </c>
    </row>
    <row r="32" spans="1:4" ht="13.5">
      <c r="A32" s="143" t="s">
        <v>321</v>
      </c>
      <c r="B32" s="126"/>
      <c r="C32" s="126"/>
      <c r="D32" s="141"/>
    </row>
    <row r="33" spans="1:4" ht="13.5">
      <c r="A33" s="126" t="s">
        <v>841</v>
      </c>
      <c r="B33" s="126"/>
      <c r="C33" s="126"/>
      <c r="D33" s="141"/>
    </row>
    <row r="34" spans="1:5" ht="13.5">
      <c r="A34" s="126" t="s">
        <v>842</v>
      </c>
      <c r="B34" s="140">
        <v>2.1311</v>
      </c>
      <c r="C34" s="140">
        <f>B34*1.0739</f>
        <v>2.2885882900000003</v>
      </c>
      <c r="D34" s="141">
        <f>(C34-B34)/B34</f>
        <v>0.07390000000000015</v>
      </c>
      <c r="E34" s="122">
        <v>0.07390549481488451</v>
      </c>
    </row>
    <row r="35" spans="1:5" ht="13.5">
      <c r="A35" s="126" t="s">
        <v>843</v>
      </c>
      <c r="B35" s="140">
        <v>0.9907</v>
      </c>
      <c r="C35" s="140">
        <f>B35*1.0739</f>
        <v>1.0639127300000002</v>
      </c>
      <c r="D35" s="141">
        <f>(C35-B35)/B35</f>
        <v>0.07390000000000017</v>
      </c>
      <c r="E35" s="122">
        <v>0.07388715049964678</v>
      </c>
    </row>
    <row r="36" spans="1:5" ht="13.5">
      <c r="A36" s="126" t="s">
        <v>844</v>
      </c>
      <c r="B36" s="140">
        <v>0.6607</v>
      </c>
      <c r="C36" s="140">
        <f>B36*1.0739</f>
        <v>0.70952573</v>
      </c>
      <c r="D36" s="141">
        <f>(C36-B36)/B36</f>
        <v>0.07390000000000002</v>
      </c>
      <c r="E36" s="122">
        <v>0.07386105645527485</v>
      </c>
    </row>
    <row r="37" spans="1:5" ht="13.5">
      <c r="A37" s="126" t="s">
        <v>845</v>
      </c>
      <c r="B37" s="145">
        <v>3.65</v>
      </c>
      <c r="C37" s="140">
        <f>B37*1.0739</f>
        <v>3.919735</v>
      </c>
      <c r="D37" s="141">
        <f>(C37-B37)/B37</f>
        <v>0.07390000000000008</v>
      </c>
      <c r="E37" s="122">
        <v>0.07397260273972606</v>
      </c>
    </row>
    <row r="38" spans="1:4" ht="13.5">
      <c r="A38" s="126"/>
      <c r="B38" s="126"/>
      <c r="C38" s="126"/>
      <c r="D38" s="141"/>
    </row>
    <row r="39" spans="1:4" ht="13.5">
      <c r="A39" s="143" t="s">
        <v>899</v>
      </c>
      <c r="B39" s="140">
        <v>0</v>
      </c>
      <c r="C39" s="140">
        <v>0</v>
      </c>
      <c r="D39" s="141"/>
    </row>
    <row r="40" spans="1:4" ht="13.5">
      <c r="A40" s="129"/>
      <c r="B40" s="126"/>
      <c r="C40" s="126"/>
      <c r="D40" s="141"/>
    </row>
    <row r="41" spans="1:4" ht="13.5">
      <c r="A41" s="146" t="s">
        <v>323</v>
      </c>
      <c r="B41" s="126"/>
      <c r="C41" s="126"/>
      <c r="D41" s="141"/>
    </row>
    <row r="42" spans="1:4" ht="13.5">
      <c r="A42" s="143" t="s">
        <v>324</v>
      </c>
      <c r="B42" s="126"/>
      <c r="C42" s="126"/>
      <c r="D42" s="141"/>
    </row>
    <row r="43" spans="1:4" ht="13.5">
      <c r="A43" s="143"/>
      <c r="B43" s="126"/>
      <c r="C43" s="126"/>
      <c r="D43" s="141"/>
    </row>
    <row r="44" spans="1:6" ht="13.5">
      <c r="A44" s="126" t="s">
        <v>846</v>
      </c>
      <c r="B44" s="144" t="s">
        <v>893</v>
      </c>
      <c r="C44" s="140" t="e">
        <f>B44*1.0739</f>
        <v>#VALUE!</v>
      </c>
      <c r="D44" s="141" t="e">
        <f>(C44-B44)/B44</f>
        <v>#VALUE!</v>
      </c>
      <c r="E44" s="122">
        <v>0.07392083850503384</v>
      </c>
      <c r="F44" s="105"/>
    </row>
    <row r="45" spans="1:5" ht="13.5">
      <c r="A45" s="126" t="s">
        <v>847</v>
      </c>
      <c r="B45" s="145">
        <v>405.92</v>
      </c>
      <c r="C45" s="145">
        <f>B45*1.0739</f>
        <v>435.91748800000005</v>
      </c>
      <c r="D45" s="141">
        <f>(C45-B45)/B45</f>
        <v>0.07390000000000008</v>
      </c>
      <c r="E45" s="122">
        <v>0.07390618841150975</v>
      </c>
    </row>
    <row r="46" spans="1:6" ht="13.5">
      <c r="A46" s="126" t="s">
        <v>848</v>
      </c>
      <c r="B46" s="147" t="s">
        <v>894</v>
      </c>
      <c r="C46" s="145" t="e">
        <f>B46*1.0739</f>
        <v>#VALUE!</v>
      </c>
      <c r="D46" s="141" t="e">
        <f>(C46-B46)/B46</f>
        <v>#VALUE!</v>
      </c>
      <c r="E46" s="122">
        <v>0.07394084732214234</v>
      </c>
      <c r="F46" s="105"/>
    </row>
    <row r="47" spans="1:5" ht="13.5">
      <c r="A47" s="126" t="s">
        <v>849</v>
      </c>
      <c r="B47" s="140">
        <v>0.1517</v>
      </c>
      <c r="C47" s="140">
        <f>B47*1.0738</f>
        <v>0.16289546000000002</v>
      </c>
      <c r="D47" s="141">
        <f>(C47-B47)/B47</f>
        <v>0.07380000000000012</v>
      </c>
      <c r="E47" s="122">
        <v>0.07382992748846395</v>
      </c>
    </row>
    <row r="48" spans="1:5" ht="13.5">
      <c r="A48" s="126"/>
      <c r="B48" s="140"/>
      <c r="C48" s="140"/>
      <c r="D48" s="141"/>
      <c r="E48" s="122"/>
    </row>
    <row r="49" spans="1:5" ht="13.5">
      <c r="A49" s="146" t="s">
        <v>329</v>
      </c>
      <c r="B49" s="126"/>
      <c r="C49" s="138"/>
      <c r="D49" s="126"/>
      <c r="E49" s="121"/>
    </row>
    <row r="50" spans="1:5" ht="13.5">
      <c r="A50" s="143" t="s">
        <v>330</v>
      </c>
      <c r="B50" s="126"/>
      <c r="C50" s="138"/>
      <c r="D50" s="126"/>
      <c r="E50" s="121"/>
    </row>
    <row r="51" spans="1:6" ht="13.5">
      <c r="A51" s="126" t="s">
        <v>862</v>
      </c>
      <c r="B51" s="140">
        <v>1.1081</v>
      </c>
      <c r="C51" s="140">
        <f>B51*1.0739</f>
        <v>1.1899885900000002</v>
      </c>
      <c r="D51" s="148">
        <v>0.07391029690461126</v>
      </c>
      <c r="E51" s="124"/>
      <c r="F51" s="121"/>
    </row>
    <row r="52" spans="1:6" ht="13.5">
      <c r="A52" s="126" t="s">
        <v>863</v>
      </c>
      <c r="B52" s="145">
        <v>4.49</v>
      </c>
      <c r="C52" s="145">
        <f>B52*1.0735</f>
        <v>4.820015</v>
      </c>
      <c r="D52" s="148">
        <v>0.07349665924276172</v>
      </c>
      <c r="E52" s="124"/>
      <c r="F52" s="121"/>
    </row>
    <row r="53" spans="1:5" ht="13.5">
      <c r="A53" s="143" t="s">
        <v>864</v>
      </c>
      <c r="B53" s="126"/>
      <c r="C53" s="149"/>
      <c r="D53" s="126"/>
      <c r="E53" s="121"/>
    </row>
    <row r="54" spans="1:5" ht="13.5">
      <c r="A54" s="126" t="s">
        <v>865</v>
      </c>
      <c r="B54" s="126"/>
      <c r="C54" s="149"/>
      <c r="D54" s="126"/>
      <c r="E54" s="121"/>
    </row>
    <row r="55" spans="1:6" ht="13.5">
      <c r="A55" s="126" t="s">
        <v>866</v>
      </c>
      <c r="B55" s="140">
        <v>2.2408</v>
      </c>
      <c r="C55" s="140">
        <f>B55*1.0739</f>
        <v>2.4063951200000004</v>
      </c>
      <c r="D55" s="148">
        <v>0.07390217779364505</v>
      </c>
      <c r="E55" s="124"/>
      <c r="F55" s="121"/>
    </row>
    <row r="56" spans="1:6" ht="13.5">
      <c r="A56" s="126" t="s">
        <v>867</v>
      </c>
      <c r="B56" s="140">
        <v>1.0534</v>
      </c>
      <c r="C56" s="140">
        <f>B56*1.0739</f>
        <v>1.13124626</v>
      </c>
      <c r="D56" s="148">
        <v>0.07385608505790775</v>
      </c>
      <c r="E56" s="124"/>
      <c r="F56" s="121"/>
    </row>
    <row r="57" spans="1:6" ht="13.5">
      <c r="A57" s="126" t="s">
        <v>868</v>
      </c>
      <c r="B57" s="140">
        <v>0.6918</v>
      </c>
      <c r="C57" s="140">
        <f>B57*1.0739</f>
        <v>0.74292402</v>
      </c>
      <c r="D57" s="148">
        <v>0.07386527898236483</v>
      </c>
      <c r="E57" s="124"/>
      <c r="F57" s="121"/>
    </row>
    <row r="58" spans="1:6" ht="13.5">
      <c r="A58" s="126" t="s">
        <v>869</v>
      </c>
      <c r="B58" s="145">
        <v>4.49</v>
      </c>
      <c r="C58" s="145">
        <f>B58*1.0735</f>
        <v>4.820015</v>
      </c>
      <c r="D58" s="148">
        <v>0.07349665924276172</v>
      </c>
      <c r="E58" s="124"/>
      <c r="F58" s="121"/>
    </row>
    <row r="59" spans="1:4" ht="13.5">
      <c r="A59" s="126"/>
      <c r="B59" s="126"/>
      <c r="C59" s="126"/>
      <c r="D59" s="126"/>
    </row>
    <row r="60" spans="1:5" ht="13.5">
      <c r="A60" s="146" t="s">
        <v>303</v>
      </c>
      <c r="B60" s="126"/>
      <c r="C60" s="138"/>
      <c r="D60" s="126"/>
      <c r="E60" s="121"/>
    </row>
    <row r="61" spans="1:5" ht="13.5">
      <c r="A61" s="143" t="s">
        <v>304</v>
      </c>
      <c r="B61" s="126"/>
      <c r="C61" s="138"/>
      <c r="D61" s="126"/>
      <c r="E61" s="121"/>
    </row>
    <row r="62" spans="1:6" ht="13.5">
      <c r="A62" s="126" t="s">
        <v>875</v>
      </c>
      <c r="B62" s="140">
        <v>0.7711</v>
      </c>
      <c r="C62" s="140">
        <f>B62*1.0739</f>
        <v>0.8280842900000001</v>
      </c>
      <c r="D62" s="148">
        <v>0.07392037349241343</v>
      </c>
      <c r="E62" s="124"/>
      <c r="F62" s="121"/>
    </row>
    <row r="63" spans="1:6" ht="13.5">
      <c r="A63" s="126" t="s">
        <v>876</v>
      </c>
      <c r="B63" s="145">
        <v>405.92</v>
      </c>
      <c r="C63" s="145">
        <f>B63*1.0739</f>
        <v>435.91748800000005</v>
      </c>
      <c r="D63" s="148">
        <v>0.07390618841150975</v>
      </c>
      <c r="E63" s="124"/>
      <c r="F63" s="121"/>
    </row>
    <row r="64" spans="1:7" ht="13.5">
      <c r="A64" s="126" t="s">
        <v>877</v>
      </c>
      <c r="B64" s="147" t="s">
        <v>895</v>
      </c>
      <c r="C64" s="145" t="e">
        <f>B64*1.074</f>
        <v>#VALUE!</v>
      </c>
      <c r="D64" s="148">
        <v>0.073962470894398</v>
      </c>
      <c r="E64" s="124"/>
      <c r="F64" s="121"/>
      <c r="G64" s="105"/>
    </row>
    <row r="65" spans="1:6" ht="13.5">
      <c r="A65" s="126" t="s">
        <v>878</v>
      </c>
      <c r="B65" s="140">
        <v>0.1517</v>
      </c>
      <c r="C65" s="140">
        <f>B65*1.0738</f>
        <v>0.16289546000000002</v>
      </c>
      <c r="D65" s="148">
        <v>0.07382992748846395</v>
      </c>
      <c r="E65" s="124"/>
      <c r="F65" s="12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06"/>
  <sheetViews>
    <sheetView zoomScale="90" zoomScaleNormal="90" zoomScalePageLayoutView="0" workbookViewId="0" topLeftCell="A1">
      <pane xSplit="2" ySplit="6" topLeftCell="L7" activePane="bottomRight" state="frozen"/>
      <selection pane="topLeft" activeCell="A1" sqref="A1"/>
      <selection pane="topRight" activeCell="C1" sqref="C1"/>
      <selection pane="bottomLeft" activeCell="A7" sqref="A7"/>
      <selection pane="bottomRight" activeCell="M37" sqref="M37"/>
    </sheetView>
  </sheetViews>
  <sheetFormatPr defaultColWidth="9.140625" defaultRowHeight="12.75"/>
  <cols>
    <col min="1" max="1" width="107.57421875" style="46" customWidth="1"/>
    <col min="2" max="2" width="20.00390625" style="46" customWidth="1"/>
    <col min="3" max="3" width="18.57421875" style="46" customWidth="1"/>
    <col min="4" max="4" width="17.421875" style="46" customWidth="1"/>
    <col min="5" max="5" width="23.421875" style="46" customWidth="1"/>
    <col min="6" max="6" width="19.421875" style="46" customWidth="1"/>
    <col min="7" max="7" width="13.57421875" style="46" customWidth="1"/>
    <col min="8" max="9" width="15.8515625" style="46" customWidth="1"/>
    <col min="10" max="10" width="15.8515625" style="576" customWidth="1"/>
    <col min="11" max="11" width="18.57421875" style="151" customWidth="1"/>
    <col min="12" max="12" width="15.8515625" style="151" customWidth="1"/>
    <col min="13" max="13" width="23.57421875" style="151" customWidth="1"/>
    <col min="14" max="14" width="23.8515625" style="46" customWidth="1"/>
    <col min="15" max="15" width="15.421875" style="46" bestFit="1" customWidth="1"/>
    <col min="16" max="16" width="14.140625" style="46" customWidth="1"/>
    <col min="17" max="17" width="15.421875" style="46" bestFit="1" customWidth="1"/>
    <col min="18" max="16384" width="9.140625" style="46" customWidth="1"/>
  </cols>
  <sheetData>
    <row r="1" spans="6:14" s="570" customFormat="1" ht="18" customHeight="1">
      <c r="F1" s="571"/>
      <c r="I1" s="570" t="s">
        <v>555</v>
      </c>
      <c r="L1" s="971" t="s">
        <v>1083</v>
      </c>
      <c r="M1" s="971"/>
      <c r="N1" s="971"/>
    </row>
    <row r="2" spans="1:14" s="570" customFormat="1" ht="18">
      <c r="A2" s="705" t="s">
        <v>20</v>
      </c>
      <c r="E2" s="572"/>
      <c r="F2" s="572"/>
      <c r="J2" s="573"/>
      <c r="K2" s="700"/>
      <c r="L2" s="700"/>
      <c r="M2" s="700"/>
      <c r="N2" s="700"/>
    </row>
    <row r="3" spans="1:13" s="570" customFormat="1" ht="18">
      <c r="A3" s="577" t="s">
        <v>1523</v>
      </c>
      <c r="E3" s="572"/>
      <c r="F3" s="572"/>
      <c r="J3" s="573"/>
      <c r="K3" s="574"/>
      <c r="L3" s="574"/>
      <c r="M3" s="574"/>
    </row>
    <row r="4" spans="5:6" ht="12.75">
      <c r="E4" s="575"/>
      <c r="F4" s="575"/>
    </row>
    <row r="5" spans="1:6" ht="14.25">
      <c r="A5" s="698" t="s">
        <v>311</v>
      </c>
      <c r="E5" s="575"/>
      <c r="F5" s="575"/>
    </row>
    <row r="6" spans="1:17" s="577" customFormat="1" ht="51">
      <c r="A6" s="577" t="s">
        <v>659</v>
      </c>
      <c r="B6" s="577" t="s">
        <v>660</v>
      </c>
      <c r="C6" s="577" t="s">
        <v>25</v>
      </c>
      <c r="D6" s="577" t="s">
        <v>22</v>
      </c>
      <c r="E6" s="578" t="s">
        <v>529</v>
      </c>
      <c r="F6" s="578" t="s">
        <v>566</v>
      </c>
      <c r="G6" s="577" t="s">
        <v>661</v>
      </c>
      <c r="H6" s="579" t="s">
        <v>825</v>
      </c>
      <c r="I6" s="579" t="s">
        <v>921</v>
      </c>
      <c r="J6" s="580" t="s">
        <v>965</v>
      </c>
      <c r="K6" s="664" t="s">
        <v>1281</v>
      </c>
      <c r="L6" s="664" t="s">
        <v>1280</v>
      </c>
      <c r="M6" s="664" t="s">
        <v>1512</v>
      </c>
      <c r="N6" s="665" t="s">
        <v>958</v>
      </c>
      <c r="O6" s="660" t="s">
        <v>1513</v>
      </c>
      <c r="P6" s="661" t="s">
        <v>1514</v>
      </c>
      <c r="Q6" s="661"/>
    </row>
    <row r="7" spans="1:16" s="577" customFormat="1" ht="14.25">
      <c r="A7" s="150"/>
      <c r="E7" s="578" t="s">
        <v>366</v>
      </c>
      <c r="F7" s="578" t="s">
        <v>366</v>
      </c>
      <c r="G7" s="577" t="s">
        <v>371</v>
      </c>
      <c r="H7" s="577" t="s">
        <v>366</v>
      </c>
      <c r="I7" s="577" t="s">
        <v>366</v>
      </c>
      <c r="J7" s="581" t="s">
        <v>366</v>
      </c>
      <c r="K7" s="582" t="s">
        <v>366</v>
      </c>
      <c r="L7" s="582" t="s">
        <v>366</v>
      </c>
      <c r="M7" s="582" t="s">
        <v>366</v>
      </c>
      <c r="N7" s="648">
        <v>0.079</v>
      </c>
      <c r="O7" s="648">
        <v>0.079</v>
      </c>
      <c r="P7" s="648">
        <v>0.079</v>
      </c>
    </row>
    <row r="8" spans="1:13" s="150" customFormat="1" ht="12.75">
      <c r="A8" s="150" t="s">
        <v>1089</v>
      </c>
      <c r="B8" s="583" t="s">
        <v>366</v>
      </c>
      <c r="C8" s="583" t="s">
        <v>366</v>
      </c>
      <c r="E8" s="584"/>
      <c r="F8" s="584"/>
      <c r="J8" s="585"/>
      <c r="K8" s="586"/>
      <c r="L8" s="586"/>
      <c r="M8" s="586"/>
    </row>
    <row r="9" spans="1:16" ht="12.75">
      <c r="A9" s="46" t="s">
        <v>1088</v>
      </c>
      <c r="B9" s="758"/>
      <c r="C9" s="758"/>
      <c r="E9" s="575"/>
      <c r="F9" s="575"/>
      <c r="K9" s="151">
        <v>0</v>
      </c>
      <c r="L9" s="151">
        <v>0</v>
      </c>
      <c r="M9" s="151">
        <v>0</v>
      </c>
      <c r="N9" s="592">
        <v>0</v>
      </c>
      <c r="O9" s="359">
        <f aca="true" t="shared" si="0" ref="O9:O15">(M9*$O$7)+M9</f>
        <v>0</v>
      </c>
      <c r="P9" s="359">
        <f>(O9*$P$7)+O9</f>
        <v>0</v>
      </c>
    </row>
    <row r="10" spans="1:16" ht="12.75">
      <c r="A10" s="46" t="s">
        <v>1090</v>
      </c>
      <c r="B10" s="46">
        <v>0</v>
      </c>
      <c r="C10" s="46">
        <v>0</v>
      </c>
      <c r="D10" s="592">
        <v>0</v>
      </c>
      <c r="E10" s="593">
        <v>0</v>
      </c>
      <c r="F10" s="593">
        <v>0</v>
      </c>
      <c r="H10" s="593"/>
      <c r="I10" s="593">
        <v>0</v>
      </c>
      <c r="J10" s="576">
        <v>0</v>
      </c>
      <c r="K10" s="151" t="s">
        <v>1184</v>
      </c>
      <c r="L10" s="603">
        <v>15</v>
      </c>
      <c r="M10" s="603">
        <f aca="true" t="shared" si="1" ref="M10:M15">(L10*N10)+L10</f>
        <v>16.185</v>
      </c>
      <c r="N10" s="590">
        <f aca="true" t="shared" si="2" ref="N10:N15">$N$7</f>
        <v>0.079</v>
      </c>
      <c r="O10" s="359">
        <f t="shared" si="0"/>
        <v>17.463614999999997</v>
      </c>
      <c r="P10" s="359">
        <f aca="true" t="shared" si="3" ref="P10:P15">(O10*$P$7)+O10</f>
        <v>18.843240584999997</v>
      </c>
    </row>
    <row r="11" spans="1:16" ht="12.75">
      <c r="A11" s="46" t="s">
        <v>662</v>
      </c>
      <c r="B11" s="47">
        <v>7.21224</v>
      </c>
      <c r="C11" s="47">
        <v>8.31571272</v>
      </c>
      <c r="D11" s="588">
        <v>0.153</v>
      </c>
      <c r="E11" s="589">
        <v>10.298225007151201</v>
      </c>
      <c r="F11" s="589">
        <f>E11*1.1103</f>
        <v>11.434119225439979</v>
      </c>
      <c r="G11" s="590">
        <f>(F11-E11)/E11</f>
        <v>0.11030000000000002</v>
      </c>
      <c r="H11" s="589">
        <v>13.574062661781818</v>
      </c>
      <c r="I11" s="589">
        <f>H11*1.155</f>
        <v>15.678042374358</v>
      </c>
      <c r="J11" s="319">
        <f>I11*1.119</f>
        <v>17.5437294169066</v>
      </c>
      <c r="K11" s="359">
        <v>19.333189817431073</v>
      </c>
      <c r="L11" s="359">
        <v>19.333189817431073</v>
      </c>
      <c r="M11" s="359">
        <f t="shared" si="1"/>
        <v>20.860511813008127</v>
      </c>
      <c r="N11" s="445">
        <f t="shared" si="2"/>
        <v>0.079</v>
      </c>
      <c r="O11" s="359">
        <f t="shared" si="0"/>
        <v>22.508492246235768</v>
      </c>
      <c r="P11" s="359">
        <f t="shared" si="3"/>
        <v>24.286663133688393</v>
      </c>
    </row>
    <row r="12" spans="1:16" ht="12.75">
      <c r="A12" s="46" t="s">
        <v>663</v>
      </c>
      <c r="B12" s="47">
        <v>8.940888</v>
      </c>
      <c r="C12" s="47">
        <v>10.308843864</v>
      </c>
      <c r="D12" s="588">
        <v>0.15300000000000008</v>
      </c>
      <c r="E12" s="589">
        <v>12.76652973108744</v>
      </c>
      <c r="F12" s="589">
        <f>E12*1.1103</f>
        <v>14.174677960426385</v>
      </c>
      <c r="G12" s="590">
        <f>(F12-E12)/E12</f>
        <v>0.11030000000000002</v>
      </c>
      <c r="H12" s="589">
        <v>16.827528474367615</v>
      </c>
      <c r="I12" s="589">
        <f>H12*1.155</f>
        <v>19.435795387894597</v>
      </c>
      <c r="J12" s="319">
        <f aca="true" t="shared" si="4" ref="J12:J35">I12*1.119</f>
        <v>21.748655039054054</v>
      </c>
      <c r="K12" s="359">
        <v>23.967017853037568</v>
      </c>
      <c r="L12" s="359">
        <v>23.967017853037568</v>
      </c>
      <c r="M12" s="359">
        <f t="shared" si="1"/>
        <v>25.860412263427534</v>
      </c>
      <c r="N12" s="445">
        <f t="shared" si="2"/>
        <v>0.079</v>
      </c>
      <c r="O12" s="359">
        <f t="shared" si="0"/>
        <v>27.90338483223831</v>
      </c>
      <c r="P12" s="359">
        <f t="shared" si="3"/>
        <v>30.107752233985135</v>
      </c>
    </row>
    <row r="13" spans="1:16" ht="12.75">
      <c r="A13" s="46" t="s">
        <v>664</v>
      </c>
      <c r="B13" s="47">
        <v>10.406232000000001</v>
      </c>
      <c r="C13" s="47">
        <v>11.998385496000001</v>
      </c>
      <c r="D13" s="588">
        <v>0.15299999999999997</v>
      </c>
      <c r="E13" s="589">
        <v>14.858867510318163</v>
      </c>
      <c r="F13" s="589">
        <f>E13*1.1103</f>
        <v>16.497800596706256</v>
      </c>
      <c r="G13" s="590">
        <f>(F13-E13)/E13</f>
        <v>0.11029999999999997</v>
      </c>
      <c r="H13" s="589">
        <v>19.585433269142335</v>
      </c>
      <c r="I13" s="589">
        <f>H13*1.155</f>
        <v>22.6211754258594</v>
      </c>
      <c r="J13" s="319">
        <f t="shared" si="4"/>
        <v>25.313095301536666</v>
      </c>
      <c r="K13" s="359">
        <v>27.895031022293406</v>
      </c>
      <c r="L13" s="359">
        <v>27.895031022293406</v>
      </c>
      <c r="M13" s="359">
        <f t="shared" si="1"/>
        <v>30.098738473054585</v>
      </c>
      <c r="N13" s="445">
        <f t="shared" si="2"/>
        <v>0.079</v>
      </c>
      <c r="O13" s="359">
        <f t="shared" si="0"/>
        <v>32.4765388124259</v>
      </c>
      <c r="P13" s="359">
        <f t="shared" si="3"/>
        <v>35.04218537860755</v>
      </c>
    </row>
    <row r="14" spans="1:16" ht="12.75">
      <c r="A14" s="46" t="s">
        <v>665</v>
      </c>
      <c r="B14" s="47"/>
      <c r="C14" s="47"/>
      <c r="D14" s="588"/>
      <c r="E14" s="589">
        <v>16.3887535</v>
      </c>
      <c r="F14" s="589">
        <f>E14*1.1103</f>
        <v>18.19643301105</v>
      </c>
      <c r="G14" s="590">
        <f>(F14-E14)/E14</f>
        <v>0.11030000000000005</v>
      </c>
      <c r="H14" s="589">
        <v>21.601971874086654</v>
      </c>
      <c r="I14" s="589">
        <f>H14*1.155</f>
        <v>24.950277514570086</v>
      </c>
      <c r="J14" s="319">
        <f t="shared" si="4"/>
        <v>27.919360538803925</v>
      </c>
      <c r="K14" s="359">
        <v>30.767135313761926</v>
      </c>
      <c r="L14" s="359">
        <v>30.767135313761926</v>
      </c>
      <c r="M14" s="359">
        <f t="shared" si="1"/>
        <v>33.19773900354912</v>
      </c>
      <c r="N14" s="445">
        <f t="shared" si="2"/>
        <v>0.079</v>
      </c>
      <c r="O14" s="359">
        <f t="shared" si="0"/>
        <v>35.8203603848295</v>
      </c>
      <c r="P14" s="359">
        <f t="shared" si="3"/>
        <v>38.65016885523103</v>
      </c>
    </row>
    <row r="15" spans="1:16" ht="12.75">
      <c r="A15" s="46" t="s">
        <v>666</v>
      </c>
      <c r="B15" s="47">
        <v>12.547008000000002</v>
      </c>
      <c r="C15" s="47">
        <v>14.466700224000002</v>
      </c>
      <c r="D15" s="588">
        <v>0.153</v>
      </c>
      <c r="E15" s="589">
        <v>17.915642234663043</v>
      </c>
      <c r="F15" s="589">
        <f>E15*1.1103</f>
        <v>19.89173757314638</v>
      </c>
      <c r="G15" s="590">
        <f>(F15-E15)/E15</f>
        <v>0.11030000000000016</v>
      </c>
      <c r="H15" s="589">
        <v>23.60904</v>
      </c>
      <c r="I15" s="589">
        <f>H15*1.155</f>
        <v>27.2684412</v>
      </c>
      <c r="J15" s="319">
        <f t="shared" si="4"/>
        <v>30.5133857028</v>
      </c>
      <c r="K15" s="359">
        <v>33.625751044485604</v>
      </c>
      <c r="L15" s="359">
        <v>33.625751044485604</v>
      </c>
      <c r="M15" s="359">
        <f t="shared" si="1"/>
        <v>36.28218537699997</v>
      </c>
      <c r="N15" s="445">
        <f t="shared" si="2"/>
        <v>0.079</v>
      </c>
      <c r="O15" s="359">
        <f t="shared" si="0"/>
        <v>39.148478021782964</v>
      </c>
      <c r="P15" s="359">
        <f t="shared" si="3"/>
        <v>42.24120778550382</v>
      </c>
    </row>
    <row r="16" spans="1:16" ht="25.5">
      <c r="A16" s="591" t="s">
        <v>1197</v>
      </c>
      <c r="B16" s="47"/>
      <c r="C16" s="47"/>
      <c r="D16" s="588"/>
      <c r="E16" s="589"/>
      <c r="F16" s="589"/>
      <c r="G16" s="590"/>
      <c r="H16" s="589"/>
      <c r="I16" s="589"/>
      <c r="J16" s="319"/>
      <c r="K16" s="359"/>
      <c r="L16" s="359"/>
      <c r="M16" s="359"/>
      <c r="N16" s="445"/>
      <c r="O16" s="359"/>
      <c r="P16" s="359"/>
    </row>
    <row r="17" spans="1:16" ht="25.5">
      <c r="A17" s="591" t="s">
        <v>1204</v>
      </c>
      <c r="B17" s="47"/>
      <c r="C17" s="47"/>
      <c r="D17" s="588"/>
      <c r="E17" s="589"/>
      <c r="F17" s="589"/>
      <c r="G17" s="590"/>
      <c r="H17" s="589"/>
      <c r="I17" s="589"/>
      <c r="J17" s="319"/>
      <c r="K17" s="359"/>
      <c r="L17" s="359"/>
      <c r="M17" s="359"/>
      <c r="N17" s="445"/>
      <c r="O17" s="359"/>
      <c r="P17" s="359"/>
    </row>
    <row r="18" spans="1:16" ht="14.25" customHeight="1">
      <c r="A18" s="591" t="s">
        <v>1196</v>
      </c>
      <c r="D18" s="588"/>
      <c r="E18" s="575"/>
      <c r="F18" s="575"/>
      <c r="G18" s="592"/>
      <c r="H18" s="589"/>
      <c r="I18" s="589"/>
      <c r="J18" s="319"/>
      <c r="K18" s="359"/>
      <c r="L18" s="359"/>
      <c r="M18" s="359"/>
      <c r="N18" s="445"/>
      <c r="O18" s="359"/>
      <c r="P18" s="359"/>
    </row>
    <row r="19" spans="1:16" ht="13.5" hidden="1">
      <c r="A19" s="150" t="s">
        <v>667</v>
      </c>
      <c r="D19" s="588"/>
      <c r="E19" s="575"/>
      <c r="F19" s="575"/>
      <c r="G19" s="592"/>
      <c r="H19" s="589"/>
      <c r="I19" s="589"/>
      <c r="J19" s="319"/>
      <c r="K19" s="359"/>
      <c r="L19" s="359"/>
      <c r="M19" s="359"/>
      <c r="N19" s="445"/>
      <c r="O19" s="359"/>
      <c r="P19" s="359"/>
    </row>
    <row r="20" spans="1:16" ht="40.5" hidden="1">
      <c r="A20" s="60" t="s">
        <v>668</v>
      </c>
      <c r="D20" s="588"/>
      <c r="E20" s="593">
        <v>0</v>
      </c>
      <c r="F20" s="593">
        <v>0</v>
      </c>
      <c r="G20" s="592"/>
      <c r="H20" s="593"/>
      <c r="I20" s="593"/>
      <c r="J20" s="319"/>
      <c r="K20" s="359"/>
      <c r="L20" s="359"/>
      <c r="M20" s="359"/>
      <c r="N20" s="445"/>
      <c r="O20" s="359"/>
      <c r="P20" s="359"/>
    </row>
    <row r="21" spans="1:16" ht="13.5" hidden="1">
      <c r="A21" s="60" t="s">
        <v>662</v>
      </c>
      <c r="C21" s="47">
        <v>12.024784584</v>
      </c>
      <c r="D21" s="588">
        <v>0.15300000000000002</v>
      </c>
      <c r="E21" s="589">
        <v>10.298225007151201</v>
      </c>
      <c r="F21" s="589">
        <f>E21*1.1103</f>
        <v>11.434119225439979</v>
      </c>
      <c r="G21" s="590">
        <f>SUM(F21-E21)/E21</f>
        <v>0.11030000000000002</v>
      </c>
      <c r="H21" s="589">
        <v>13.574062661781818</v>
      </c>
      <c r="I21" s="589">
        <f>H21*1.155</f>
        <v>15.678042374358</v>
      </c>
      <c r="J21" s="319">
        <f t="shared" si="4"/>
        <v>17.5437294169066</v>
      </c>
      <c r="K21" s="359">
        <v>18.929684040842222</v>
      </c>
      <c r="L21" s="359"/>
      <c r="M21" s="359"/>
      <c r="N21" s="360"/>
      <c r="O21" s="359"/>
      <c r="P21" s="359"/>
    </row>
    <row r="22" spans="1:16" ht="13.5" hidden="1">
      <c r="A22" s="60" t="s">
        <v>663</v>
      </c>
      <c r="C22" s="47">
        <v>9.015288552000001</v>
      </c>
      <c r="D22" s="588">
        <v>0.1530000000000001</v>
      </c>
      <c r="E22" s="589">
        <v>12.76652973108744</v>
      </c>
      <c r="F22" s="589">
        <f>E22*1.1103</f>
        <v>14.174677960426385</v>
      </c>
      <c r="G22" s="590">
        <f>SUM(F22-E22)/E22</f>
        <v>0.11030000000000002</v>
      </c>
      <c r="H22" s="589">
        <v>16.827528474367615</v>
      </c>
      <c r="I22" s="589">
        <f>H22*1.155</f>
        <v>19.435795387894597</v>
      </c>
      <c r="J22" s="319">
        <f t="shared" si="4"/>
        <v>21.748655039054054</v>
      </c>
      <c r="K22" s="359">
        <v>23.466798787139325</v>
      </c>
      <c r="L22" s="359"/>
      <c r="M22" s="359"/>
      <c r="N22" s="360"/>
      <c r="O22" s="359"/>
      <c r="P22" s="359"/>
    </row>
    <row r="23" spans="1:16" ht="13.5" hidden="1">
      <c r="A23" s="60" t="s">
        <v>664</v>
      </c>
      <c r="D23" s="588"/>
      <c r="E23" s="589">
        <v>14.858867510318163</v>
      </c>
      <c r="F23" s="589">
        <f>E23*1.1103</f>
        <v>16.497800596706256</v>
      </c>
      <c r="G23" s="590">
        <f>SUM(F23-E23)/E23</f>
        <v>0.11029999999999997</v>
      </c>
      <c r="H23" s="589">
        <v>19.585433269142335</v>
      </c>
      <c r="I23" s="589">
        <f>H23*1.155</f>
        <v>22.6211754258594</v>
      </c>
      <c r="J23" s="319">
        <f t="shared" si="4"/>
        <v>25.313095301536666</v>
      </c>
      <c r="K23" s="359">
        <v>27.312829830358062</v>
      </c>
      <c r="L23" s="359"/>
      <c r="M23" s="359"/>
      <c r="N23" s="360"/>
      <c r="O23" s="359"/>
      <c r="P23" s="359"/>
    </row>
    <row r="24" spans="1:16" ht="13.5" hidden="1">
      <c r="A24" s="60" t="s">
        <v>665</v>
      </c>
      <c r="B24" s="47">
        <v>8.35704</v>
      </c>
      <c r="D24" s="588"/>
      <c r="E24" s="589">
        <v>16.3887535</v>
      </c>
      <c r="F24" s="589">
        <f>E24*1.1103</f>
        <v>18.19643301105</v>
      </c>
      <c r="G24" s="590">
        <f>SUM(F24-E24)/E24</f>
        <v>0.11030000000000005</v>
      </c>
      <c r="H24" s="589">
        <v>21.601971874086654</v>
      </c>
      <c r="I24" s="589">
        <f>H24*1.155</f>
        <v>24.950277514570086</v>
      </c>
      <c r="J24" s="319">
        <f t="shared" si="4"/>
        <v>27.919360538803925</v>
      </c>
      <c r="K24" s="359">
        <v>30.124990021369435</v>
      </c>
      <c r="L24" s="359"/>
      <c r="M24" s="359"/>
      <c r="N24" s="360"/>
      <c r="O24" s="359"/>
      <c r="P24" s="359"/>
    </row>
    <row r="25" spans="1:16" ht="13.5" hidden="1">
      <c r="A25" s="60" t="s">
        <v>666</v>
      </c>
      <c r="D25" s="588"/>
      <c r="E25" s="589">
        <v>17.916999999999998</v>
      </c>
      <c r="F25" s="589">
        <f>E25*1.1103</f>
        <v>19.893245099999998</v>
      </c>
      <c r="G25" s="590">
        <f>SUM(F25-E25)/E25</f>
        <v>0.11030000000000001</v>
      </c>
      <c r="H25" s="589">
        <v>23.616349472094416</v>
      </c>
      <c r="I25" s="589">
        <f>H25*1.155</f>
        <v>27.27688364026905</v>
      </c>
      <c r="J25" s="319">
        <f t="shared" si="4"/>
        <v>30.52283279346107</v>
      </c>
      <c r="K25" s="359">
        <v>32.9341365841445</v>
      </c>
      <c r="L25" s="359"/>
      <c r="M25" s="359"/>
      <c r="N25" s="360"/>
      <c r="O25" s="359"/>
      <c r="P25" s="359"/>
    </row>
    <row r="26" spans="1:16" ht="12.75">
      <c r="A26" s="60"/>
      <c r="D26" s="588"/>
      <c r="E26" s="589"/>
      <c r="F26" s="589"/>
      <c r="G26" s="592"/>
      <c r="H26" s="589"/>
      <c r="I26" s="589"/>
      <c r="J26" s="319"/>
      <c r="K26" s="359"/>
      <c r="L26" s="359"/>
      <c r="M26" s="359"/>
      <c r="N26" s="445"/>
      <c r="O26" s="359"/>
      <c r="P26" s="359"/>
    </row>
    <row r="27" spans="1:16" s="14" customFormat="1" ht="25.5">
      <c r="A27" s="362" t="s">
        <v>1403</v>
      </c>
      <c r="D27" s="754"/>
      <c r="E27" s="755">
        <v>11.927443499999999</v>
      </c>
      <c r="F27" s="755">
        <f>E27*1.1103</f>
        <v>13.24304051805</v>
      </c>
      <c r="G27" s="124">
        <f>SUM(F27-E27)/E27</f>
        <v>0.11030000000000009</v>
      </c>
      <c r="H27" s="755">
        <v>15.721531171773234</v>
      </c>
      <c r="I27" s="755">
        <f>H27*1.155</f>
        <v>18.158368503398087</v>
      </c>
      <c r="J27" s="600">
        <f t="shared" si="4"/>
        <v>20.31921435530246</v>
      </c>
      <c r="K27" s="601">
        <v>22.39177421954331</v>
      </c>
      <c r="L27" s="601">
        <v>22.39177421954331</v>
      </c>
      <c r="M27" s="440" t="s">
        <v>1387</v>
      </c>
      <c r="N27" s="756"/>
      <c r="O27" s="601"/>
      <c r="P27" s="601"/>
    </row>
    <row r="28" spans="1:11" s="438" customFormat="1" ht="25.5">
      <c r="A28" s="850" t="s">
        <v>1389</v>
      </c>
      <c r="D28" s="643"/>
      <c r="E28" s="436"/>
      <c r="F28" s="436"/>
      <c r="G28" s="644"/>
      <c r="H28" s="436"/>
      <c r="I28" s="436"/>
      <c r="J28" s="439"/>
      <c r="K28" s="440"/>
    </row>
    <row r="29" spans="1:16" s="438" customFormat="1" ht="12.75">
      <c r="A29" s="850" t="s">
        <v>1284</v>
      </c>
      <c r="D29" s="643"/>
      <c r="E29" s="436"/>
      <c r="F29" s="436"/>
      <c r="G29" s="644"/>
      <c r="H29" s="436"/>
      <c r="I29" s="436"/>
      <c r="J29" s="439"/>
      <c r="K29" s="440"/>
      <c r="L29" s="440" t="s">
        <v>1152</v>
      </c>
      <c r="M29" s="440">
        <v>23.435879999999997</v>
      </c>
      <c r="N29" s="731"/>
      <c r="O29" s="440">
        <f>(M29*$O$7)+M29</f>
        <v>25.287314519999995</v>
      </c>
      <c r="P29" s="440">
        <f>(O29*$P$7)+O29</f>
        <v>27.285012367079997</v>
      </c>
    </row>
    <row r="30" spans="1:16" s="438" customFormat="1" ht="12.75">
      <c r="A30" s="850" t="s">
        <v>1388</v>
      </c>
      <c r="D30" s="643"/>
      <c r="E30" s="436"/>
      <c r="F30" s="436"/>
      <c r="G30" s="644"/>
      <c r="H30" s="436"/>
      <c r="I30" s="436"/>
      <c r="J30" s="439"/>
      <c r="K30" s="440"/>
      <c r="L30" s="440" t="s">
        <v>1152</v>
      </c>
      <c r="M30" s="440">
        <v>37.765</v>
      </c>
      <c r="N30" s="731"/>
      <c r="O30" s="440">
        <f>(M30*$O$7)+M30</f>
        <v>40.748435</v>
      </c>
      <c r="P30" s="440">
        <f>(O30*$P$7)+O30</f>
        <v>43.967561365</v>
      </c>
    </row>
    <row r="31" spans="1:16" s="587" customFormat="1" ht="63.75">
      <c r="A31" s="591" t="s">
        <v>1198</v>
      </c>
      <c r="D31" s="594"/>
      <c r="E31" s="595"/>
      <c r="F31" s="595"/>
      <c r="G31" s="596"/>
      <c r="H31" s="595"/>
      <c r="I31" s="595"/>
      <c r="J31" s="439"/>
      <c r="K31" s="440"/>
      <c r="L31" s="440"/>
      <c r="M31" s="440"/>
      <c r="N31" s="645"/>
      <c r="O31" s="359"/>
      <c r="P31" s="359"/>
    </row>
    <row r="32" spans="1:16" ht="12.75">
      <c r="A32" s="60"/>
      <c r="D32" s="588"/>
      <c r="E32" s="575"/>
      <c r="F32" s="589"/>
      <c r="G32" s="590"/>
      <c r="H32" s="589"/>
      <c r="I32" s="589"/>
      <c r="J32" s="319"/>
      <c r="K32" s="359"/>
      <c r="L32" s="359"/>
      <c r="M32" s="359"/>
      <c r="N32" s="360"/>
      <c r="O32" s="359"/>
      <c r="P32" s="359"/>
    </row>
    <row r="33" spans="1:16" s="150" customFormat="1" ht="12.75">
      <c r="A33" s="150" t="s">
        <v>1179</v>
      </c>
      <c r="D33" s="598"/>
      <c r="E33" s="584"/>
      <c r="F33" s="599"/>
      <c r="G33" s="757"/>
      <c r="H33" s="599"/>
      <c r="I33" s="599"/>
      <c r="J33" s="600"/>
      <c r="K33" s="601"/>
      <c r="L33" s="601"/>
      <c r="M33" s="601"/>
      <c r="N33" s="759"/>
      <c r="O33" s="601"/>
      <c r="P33" s="601"/>
    </row>
    <row r="34" spans="1:16" s="438" customFormat="1" ht="12.75">
      <c r="A34" s="438" t="s">
        <v>669</v>
      </c>
      <c r="B34" s="437">
        <v>10.429128</v>
      </c>
      <c r="C34" s="437">
        <v>12.024784584</v>
      </c>
      <c r="D34" s="643">
        <v>0.15300000000000002</v>
      </c>
      <c r="E34" s="436">
        <v>14.891560288118642</v>
      </c>
      <c r="F34" s="436">
        <f>E34*1.1103</f>
        <v>16.53409938789813</v>
      </c>
      <c r="G34" s="644">
        <f>SUM(F34-E34)/E34</f>
        <v>0.11030000000000018</v>
      </c>
      <c r="H34" s="436">
        <v>19.62015</v>
      </c>
      <c r="I34" s="436">
        <f>H34*1.155</f>
        <v>22.66127325</v>
      </c>
      <c r="J34" s="439">
        <f t="shared" si="4"/>
        <v>25.35796476675</v>
      </c>
      <c r="K34" s="440">
        <v>27.9444771729585</v>
      </c>
      <c r="L34" s="440">
        <v>31.35370338805944</v>
      </c>
      <c r="M34" s="440" t="s">
        <v>1387</v>
      </c>
      <c r="N34" s="842"/>
      <c r="O34" s="440"/>
      <c r="P34" s="440"/>
    </row>
    <row r="35" spans="1:16" s="438" customFormat="1" ht="12.75">
      <c r="A35" s="438" t="s">
        <v>670</v>
      </c>
      <c r="B35" s="437">
        <v>7.818984</v>
      </c>
      <c r="C35" s="437">
        <v>9.015288552000001</v>
      </c>
      <c r="D35" s="643">
        <v>0.1530000000000001</v>
      </c>
      <c r="E35" s="436">
        <v>11.16458361886392</v>
      </c>
      <c r="F35" s="436">
        <f>E35*1.1103</f>
        <v>12.396037192024611</v>
      </c>
      <c r="G35" s="644">
        <f>SUM(F35-E35)/E35</f>
        <v>0.11030000000000001</v>
      </c>
      <c r="H35" s="436">
        <v>14.723219999999998</v>
      </c>
      <c r="I35" s="436">
        <f>H35*1.155</f>
        <v>17.005319099999998</v>
      </c>
      <c r="J35" s="439">
        <f t="shared" si="4"/>
        <v>19.028952072899997</v>
      </c>
      <c r="K35" s="440">
        <v>20.969905184335797</v>
      </c>
      <c r="L35" s="440">
        <v>23.528233616824767</v>
      </c>
      <c r="M35" s="440" t="s">
        <v>1387</v>
      </c>
      <c r="N35" s="842"/>
      <c r="O35" s="440"/>
      <c r="P35" s="440"/>
    </row>
    <row r="36" spans="1:16" s="438" customFormat="1" ht="12.75">
      <c r="A36" s="438" t="s">
        <v>1284</v>
      </c>
      <c r="B36" s="437"/>
      <c r="C36" s="437"/>
      <c r="D36" s="643"/>
      <c r="E36" s="436"/>
      <c r="F36" s="436"/>
      <c r="G36" s="644"/>
      <c r="H36" s="436"/>
      <c r="I36" s="436"/>
      <c r="J36" s="439"/>
      <c r="K36" s="359"/>
      <c r="L36" s="440" t="s">
        <v>1152</v>
      </c>
      <c r="M36" s="440">
        <v>38.844</v>
      </c>
      <c r="N36" s="445"/>
      <c r="O36" s="359">
        <f>(M36*$O$7)+M36</f>
        <v>41.912676000000005</v>
      </c>
      <c r="P36" s="359">
        <f>(O36*$P$7)+O36</f>
        <v>45.223777404</v>
      </c>
    </row>
    <row r="37" spans="1:16" s="438" customFormat="1" ht="12.75">
      <c r="A37" s="438" t="s">
        <v>1388</v>
      </c>
      <c r="B37" s="437"/>
      <c r="C37" s="437"/>
      <c r="D37" s="643"/>
      <c r="E37" s="436"/>
      <c r="F37" s="436"/>
      <c r="G37" s="644"/>
      <c r="H37" s="436"/>
      <c r="I37" s="436"/>
      <c r="J37" s="439"/>
      <c r="K37" s="359"/>
      <c r="L37" s="440" t="s">
        <v>1152</v>
      </c>
      <c r="M37" s="440">
        <v>41.002</v>
      </c>
      <c r="N37" s="445"/>
      <c r="O37" s="359">
        <f>(M37*$O$7)+M37</f>
        <v>44.241158000000006</v>
      </c>
      <c r="P37" s="359">
        <f>(O37*$P$7)+O37</f>
        <v>47.73620948200001</v>
      </c>
    </row>
    <row r="38" spans="1:16" ht="25.5">
      <c r="A38" s="591" t="s">
        <v>1199</v>
      </c>
      <c r="C38" s="46">
        <v>0</v>
      </c>
      <c r="D38" s="588"/>
      <c r="E38" s="575"/>
      <c r="F38" s="575"/>
      <c r="G38" s="588"/>
      <c r="H38" s="589"/>
      <c r="I38" s="589"/>
      <c r="J38" s="319"/>
      <c r="K38" s="359"/>
      <c r="L38" s="359"/>
      <c r="M38" s="359"/>
      <c r="N38" s="445"/>
      <c r="O38" s="359"/>
      <c r="P38" s="359"/>
    </row>
    <row r="39" spans="1:16" s="150" customFormat="1" ht="12.75">
      <c r="A39" s="597" t="s">
        <v>1065</v>
      </c>
      <c r="D39" s="598"/>
      <c r="E39" s="584"/>
      <c r="F39" s="584"/>
      <c r="G39" s="598"/>
      <c r="H39" s="599"/>
      <c r="I39" s="599"/>
      <c r="J39" s="600"/>
      <c r="K39" s="601"/>
      <c r="L39" s="601"/>
      <c r="M39" s="601"/>
      <c r="N39" s="445"/>
      <c r="O39" s="359"/>
      <c r="P39" s="359"/>
    </row>
    <row r="40" spans="1:16" s="150" customFormat="1" ht="12.75">
      <c r="A40" s="602" t="s">
        <v>1066</v>
      </c>
      <c r="D40" s="598"/>
      <c r="E40" s="584"/>
      <c r="F40" s="584"/>
      <c r="G40" s="598"/>
      <c r="H40" s="599"/>
      <c r="I40" s="599"/>
      <c r="J40" s="600"/>
      <c r="K40" s="601"/>
      <c r="L40" s="601"/>
      <c r="M40" s="601"/>
      <c r="N40" s="445"/>
      <c r="O40" s="359"/>
      <c r="P40" s="359"/>
    </row>
    <row r="41" spans="1:16" ht="12.75">
      <c r="A41" s="46" t="s">
        <v>1255</v>
      </c>
      <c r="B41" s="47">
        <v>121.34880000000001</v>
      </c>
      <c r="C41" s="47">
        <v>139.9151664</v>
      </c>
      <c r="D41" s="588">
        <v>0.1529999999999999</v>
      </c>
      <c r="E41" s="47">
        <v>173.27172234254405</v>
      </c>
      <c r="F41" s="589">
        <f>E41*1.1103</f>
        <v>192.38359331692666</v>
      </c>
      <c r="G41" s="590">
        <f>SUM(F41-E41)/E41</f>
        <v>0.11030000000000001</v>
      </c>
      <c r="H41" s="589">
        <v>228.38899081728144</v>
      </c>
      <c r="I41" s="589">
        <f>H41*1.155</f>
        <v>263.7892843939601</v>
      </c>
      <c r="J41" s="319">
        <f>I41*1.119</f>
        <v>295.18020923684134</v>
      </c>
      <c r="K41" s="359">
        <v>325.28859057899916</v>
      </c>
      <c r="L41" s="359">
        <v>325.28859057899916</v>
      </c>
      <c r="M41" s="359">
        <f>(L41*N41)+L41</f>
        <v>350.9863892347401</v>
      </c>
      <c r="N41" s="445">
        <f>$N$7</f>
        <v>0.079</v>
      </c>
      <c r="O41" s="359">
        <f>(M41*$O$7)+M41</f>
        <v>378.71431398428456</v>
      </c>
      <c r="P41" s="359">
        <f>(O41*$P$7)+O41</f>
        <v>408.63274478904304</v>
      </c>
    </row>
    <row r="42" spans="1:16" ht="12.75">
      <c r="A42" s="46" t="s">
        <v>1256</v>
      </c>
      <c r="B42" s="47"/>
      <c r="C42" s="47"/>
      <c r="D42" s="588"/>
      <c r="E42" s="47"/>
      <c r="F42" s="589"/>
      <c r="G42" s="590"/>
      <c r="H42" s="589"/>
      <c r="I42" s="589"/>
      <c r="J42" s="319"/>
      <c r="K42" s="359" t="s">
        <v>1184</v>
      </c>
      <c r="L42" s="359">
        <v>600</v>
      </c>
      <c r="M42" s="359">
        <f>(L42*N42)+L42</f>
        <v>647.4</v>
      </c>
      <c r="N42" s="445">
        <f>$N$7</f>
        <v>0.079</v>
      </c>
      <c r="O42" s="359">
        <f>(M42*$O$7)+M42</f>
        <v>698.5446</v>
      </c>
      <c r="P42" s="359">
        <f>(O42*$P$7)+O42</f>
        <v>753.7296233999999</v>
      </c>
    </row>
    <row r="43" spans="2:16" ht="12.75">
      <c r="B43" s="47"/>
      <c r="C43" s="47"/>
      <c r="D43" s="588"/>
      <c r="E43" s="47"/>
      <c r="F43" s="589"/>
      <c r="G43" s="590"/>
      <c r="H43" s="589"/>
      <c r="I43" s="589"/>
      <c r="J43" s="319"/>
      <c r="K43" s="359"/>
      <c r="L43" s="359"/>
      <c r="M43" s="359"/>
      <c r="N43" s="445"/>
      <c r="O43" s="359"/>
      <c r="P43" s="359"/>
    </row>
    <row r="44" spans="1:16" ht="12" customHeight="1">
      <c r="A44" s="150" t="s">
        <v>26</v>
      </c>
      <c r="D44" s="588"/>
      <c r="E44" s="575"/>
      <c r="F44" s="575"/>
      <c r="G44" s="588"/>
      <c r="H44" s="589"/>
      <c r="I44" s="589"/>
      <c r="J44" s="319"/>
      <c r="K44" s="359"/>
      <c r="L44" s="359"/>
      <c r="M44" s="359"/>
      <c r="N44" s="445"/>
      <c r="O44" s="359"/>
      <c r="P44" s="359"/>
    </row>
    <row r="45" spans="1:16" ht="40.5">
      <c r="A45" s="46" t="s">
        <v>1061</v>
      </c>
      <c r="B45" s="47">
        <v>2426.976</v>
      </c>
      <c r="C45" s="47">
        <v>2798.303328</v>
      </c>
      <c r="D45" s="588">
        <v>0.15299999999999994</v>
      </c>
      <c r="E45" s="47">
        <v>3465.4344468508802</v>
      </c>
      <c r="F45" s="47">
        <f>E45*1.1103</f>
        <v>3847.6718663385327</v>
      </c>
      <c r="G45" s="590">
        <f>SUM(F45-E45)/E45</f>
        <v>0.1103000000000001</v>
      </c>
      <c r="H45" s="47">
        <v>4567.779816345628</v>
      </c>
      <c r="I45" s="47">
        <f>H45*1.155</f>
        <v>5275.785687879201</v>
      </c>
      <c r="J45" s="319">
        <f>I45*1.119</f>
        <v>5903.604184736826</v>
      </c>
      <c r="K45" s="359">
        <v>6505.771811579983</v>
      </c>
      <c r="L45" s="760" t="s">
        <v>1086</v>
      </c>
      <c r="M45" s="760" t="s">
        <v>1086</v>
      </c>
      <c r="N45" s="445"/>
      <c r="O45" s="760" t="s">
        <v>1086</v>
      </c>
      <c r="P45" s="760" t="s">
        <v>1086</v>
      </c>
    </row>
    <row r="46" spans="1:16" ht="13.5">
      <c r="A46" s="46" t="s">
        <v>672</v>
      </c>
      <c r="B46" s="46">
        <v>0</v>
      </c>
      <c r="C46" s="46">
        <v>0</v>
      </c>
      <c r="D46" s="588"/>
      <c r="E46" s="593">
        <v>0</v>
      </c>
      <c r="F46" s="593">
        <v>0</v>
      </c>
      <c r="G46" s="588"/>
      <c r="H46" s="593"/>
      <c r="I46" s="589" t="s">
        <v>27</v>
      </c>
      <c r="J46" s="576" t="s">
        <v>27</v>
      </c>
      <c r="K46" s="151" t="s">
        <v>27</v>
      </c>
      <c r="L46" s="603" t="s">
        <v>1087</v>
      </c>
      <c r="M46" s="603" t="s">
        <v>1087</v>
      </c>
      <c r="N46" s="445"/>
      <c r="O46" s="603" t="s">
        <v>1087</v>
      </c>
      <c r="P46" s="603" t="s">
        <v>1087</v>
      </c>
    </row>
    <row r="47" spans="1:16" ht="13.5">
      <c r="A47" s="46" t="s">
        <v>673</v>
      </c>
      <c r="B47" s="46">
        <v>0</v>
      </c>
      <c r="C47" s="46">
        <v>0</v>
      </c>
      <c r="D47" s="588"/>
      <c r="E47" s="593">
        <v>0</v>
      </c>
      <c r="F47" s="593">
        <v>0</v>
      </c>
      <c r="G47" s="588"/>
      <c r="H47" s="593"/>
      <c r="I47" s="589" t="s">
        <v>27</v>
      </c>
      <c r="J47" s="576" t="s">
        <v>27</v>
      </c>
      <c r="K47" s="151" t="s">
        <v>27</v>
      </c>
      <c r="L47" s="603" t="s">
        <v>1087</v>
      </c>
      <c r="M47" s="603" t="s">
        <v>1087</v>
      </c>
      <c r="N47" s="445"/>
      <c r="O47" s="603" t="s">
        <v>1087</v>
      </c>
      <c r="P47" s="603" t="s">
        <v>1087</v>
      </c>
    </row>
    <row r="48" spans="1:16" ht="40.5">
      <c r="A48" s="591" t="s">
        <v>1227</v>
      </c>
      <c r="D48" s="588"/>
      <c r="E48" s="575"/>
      <c r="F48" s="575"/>
      <c r="G48" s="588"/>
      <c r="H48" s="589"/>
      <c r="I48" s="589"/>
      <c r="L48" s="603"/>
      <c r="M48" s="603"/>
      <c r="N48" s="445"/>
      <c r="O48" s="359"/>
      <c r="P48" s="359"/>
    </row>
    <row r="49" spans="1:16" ht="13.5">
      <c r="A49" s="604"/>
      <c r="D49" s="588"/>
      <c r="E49" s="575"/>
      <c r="F49" s="575"/>
      <c r="G49" s="588"/>
      <c r="H49" s="589"/>
      <c r="I49" s="589"/>
      <c r="L49" s="603"/>
      <c r="M49" s="603"/>
      <c r="N49" s="445"/>
      <c r="O49" s="359"/>
      <c r="P49" s="359"/>
    </row>
    <row r="50" spans="1:16" ht="13.5">
      <c r="A50" s="150" t="s">
        <v>28</v>
      </c>
      <c r="D50" s="588"/>
      <c r="E50" s="575"/>
      <c r="F50" s="589"/>
      <c r="G50" s="590"/>
      <c r="H50" s="589"/>
      <c r="I50" s="589"/>
      <c r="J50" s="319"/>
      <c r="K50" s="359"/>
      <c r="L50" s="359"/>
      <c r="M50" s="359"/>
      <c r="N50" s="445"/>
      <c r="O50" s="359"/>
      <c r="P50" s="359"/>
    </row>
    <row r="51" spans="1:16" ht="13.5">
      <c r="A51" s="46" t="s">
        <v>674</v>
      </c>
      <c r="B51" s="47">
        <v>3033.7200000000003</v>
      </c>
      <c r="C51" s="47">
        <v>3497.8791600000004</v>
      </c>
      <c r="D51" s="588">
        <v>0.15300000000000002</v>
      </c>
      <c r="E51" s="47">
        <v>4331.7930585636</v>
      </c>
      <c r="F51" s="47">
        <f>E51*1.1103</f>
        <v>4809.589832923166</v>
      </c>
      <c r="G51" s="590">
        <f>SUM(F51-E51)/E51</f>
        <v>0.11030000000000008</v>
      </c>
      <c r="H51" s="47">
        <v>5709.724770432034</v>
      </c>
      <c r="I51" s="47">
        <f>H51*1.155</f>
        <v>6594.732109849</v>
      </c>
      <c r="J51" s="319">
        <f>I51*1.119</f>
        <v>7379.505230921031</v>
      </c>
      <c r="K51" s="359">
        <v>8132.214764474977</v>
      </c>
      <c r="L51" s="359">
        <v>8132.214764474977</v>
      </c>
      <c r="M51" s="359">
        <f>(L51*N51)+L51</f>
        <v>8774.6597308685</v>
      </c>
      <c r="N51" s="445">
        <f>$N$7</f>
        <v>0.079</v>
      </c>
      <c r="O51" s="359">
        <f>(M51*$O$7)+M51</f>
        <v>9467.857849607111</v>
      </c>
      <c r="P51" s="359">
        <f>(O51*$P$7)+O51</f>
        <v>10215.818619726073</v>
      </c>
    </row>
    <row r="52" spans="1:16" ht="13.5">
      <c r="A52" s="46" t="s">
        <v>675</v>
      </c>
      <c r="B52" s="46" t="s">
        <v>27</v>
      </c>
      <c r="C52" s="46" t="s">
        <v>27</v>
      </c>
      <c r="D52" s="588"/>
      <c r="E52" s="46" t="s">
        <v>27</v>
      </c>
      <c r="F52" s="46" t="s">
        <v>27</v>
      </c>
      <c r="G52" s="588"/>
      <c r="H52" s="589"/>
      <c r="I52" s="46" t="s">
        <v>27</v>
      </c>
      <c r="J52" s="576" t="s">
        <v>27</v>
      </c>
      <c r="K52" s="151" t="s">
        <v>27</v>
      </c>
      <c r="L52" s="151" t="s">
        <v>27</v>
      </c>
      <c r="M52" s="151" t="s">
        <v>27</v>
      </c>
      <c r="N52" s="445"/>
      <c r="O52" s="151" t="s">
        <v>27</v>
      </c>
      <c r="P52" s="151" t="s">
        <v>27</v>
      </c>
    </row>
    <row r="53" spans="1:16" ht="13.5">
      <c r="A53" s="46" t="s">
        <v>676</v>
      </c>
      <c r="B53" s="46" t="s">
        <v>27</v>
      </c>
      <c r="C53" s="46" t="s">
        <v>27</v>
      </c>
      <c r="D53" s="588"/>
      <c r="E53" s="46" t="s">
        <v>27</v>
      </c>
      <c r="F53" s="46" t="s">
        <v>27</v>
      </c>
      <c r="G53" s="588"/>
      <c r="H53" s="589"/>
      <c r="I53" s="46" t="s">
        <v>27</v>
      </c>
      <c r="J53" s="576" t="s">
        <v>27</v>
      </c>
      <c r="K53" s="151" t="s">
        <v>27</v>
      </c>
      <c r="L53" s="151" t="s">
        <v>27</v>
      </c>
      <c r="M53" s="151" t="s">
        <v>27</v>
      </c>
      <c r="N53" s="445"/>
      <c r="O53" s="151" t="s">
        <v>27</v>
      </c>
      <c r="P53" s="151" t="s">
        <v>27</v>
      </c>
    </row>
    <row r="54" spans="1:16" ht="13.5">
      <c r="A54" s="46" t="s">
        <v>677</v>
      </c>
      <c r="B54" s="46" t="s">
        <v>27</v>
      </c>
      <c r="C54" s="46" t="s">
        <v>27</v>
      </c>
      <c r="D54" s="588"/>
      <c r="E54" s="46" t="s">
        <v>27</v>
      </c>
      <c r="F54" s="46" t="s">
        <v>27</v>
      </c>
      <c r="G54" s="588"/>
      <c r="H54" s="589"/>
      <c r="I54" s="46" t="s">
        <v>27</v>
      </c>
      <c r="J54" s="576" t="s">
        <v>27</v>
      </c>
      <c r="K54" s="151" t="s">
        <v>27</v>
      </c>
      <c r="L54" s="151" t="s">
        <v>27</v>
      </c>
      <c r="M54" s="151" t="s">
        <v>27</v>
      </c>
      <c r="N54" s="445"/>
      <c r="O54" s="151" t="s">
        <v>27</v>
      </c>
      <c r="P54" s="151" t="s">
        <v>27</v>
      </c>
    </row>
    <row r="55" spans="1:16" ht="13.5">
      <c r="A55" s="46" t="s">
        <v>678</v>
      </c>
      <c r="B55" s="46" t="s">
        <v>27</v>
      </c>
      <c r="C55" s="46" t="s">
        <v>27</v>
      </c>
      <c r="D55" s="588"/>
      <c r="E55" s="46" t="s">
        <v>27</v>
      </c>
      <c r="F55" s="46" t="s">
        <v>27</v>
      </c>
      <c r="G55" s="588"/>
      <c r="H55" s="589"/>
      <c r="I55" s="46" t="s">
        <v>27</v>
      </c>
      <c r="J55" s="576" t="s">
        <v>27</v>
      </c>
      <c r="K55" s="151" t="s">
        <v>27</v>
      </c>
      <c r="L55" s="151" t="s">
        <v>27</v>
      </c>
      <c r="M55" s="151" t="s">
        <v>27</v>
      </c>
      <c r="N55" s="445"/>
      <c r="O55" s="151" t="s">
        <v>27</v>
      </c>
      <c r="P55" s="151" t="s">
        <v>27</v>
      </c>
    </row>
    <row r="56" spans="4:16" ht="13.5">
      <c r="D56" s="588"/>
      <c r="E56" s="575"/>
      <c r="F56" s="575"/>
      <c r="G56" s="588"/>
      <c r="H56" s="589"/>
      <c r="I56" s="46" t="s">
        <v>27</v>
      </c>
      <c r="J56" s="576" t="s">
        <v>27</v>
      </c>
      <c r="K56" s="151" t="s">
        <v>27</v>
      </c>
      <c r="L56" s="603"/>
      <c r="M56" s="603"/>
      <c r="N56" s="445"/>
      <c r="O56" s="359"/>
      <c r="P56" s="359"/>
    </row>
    <row r="57" spans="1:16" ht="13.5">
      <c r="A57" s="150" t="s">
        <v>29</v>
      </c>
      <c r="D57" s="588"/>
      <c r="E57" s="575"/>
      <c r="F57" s="575"/>
      <c r="G57" s="588"/>
      <c r="H57" s="589"/>
      <c r="I57" s="589"/>
      <c r="L57" s="603"/>
      <c r="M57" s="603"/>
      <c r="N57" s="445"/>
      <c r="O57" s="359"/>
      <c r="P57" s="359"/>
    </row>
    <row r="58" spans="1:16" ht="13.5">
      <c r="A58" s="46" t="s">
        <v>679</v>
      </c>
      <c r="B58" s="47">
        <v>412.12800000000004</v>
      </c>
      <c r="C58" s="47">
        <v>475.18358400000005</v>
      </c>
      <c r="D58" s="588">
        <v>0.153</v>
      </c>
      <c r="E58" s="47">
        <v>588.4700004086401</v>
      </c>
      <c r="F58" s="47">
        <f>E58*1.1103</f>
        <v>653.3782414537131</v>
      </c>
      <c r="G58" s="590">
        <f>SUM(F58-E58)/E58</f>
        <v>0.11030000000000009</v>
      </c>
      <c r="H58" s="47">
        <v>775.6607235303896</v>
      </c>
      <c r="I58" s="47">
        <f>H58*1.155</f>
        <v>895.8881356776001</v>
      </c>
      <c r="J58" s="319">
        <f>I58*1.119</f>
        <v>1002.4988238232345</v>
      </c>
      <c r="K58" s="359">
        <v>1104.7537038532043</v>
      </c>
      <c r="L58" s="359">
        <v>1104.7537038532043</v>
      </c>
      <c r="M58" s="359">
        <f>(L58*N58)+L58</f>
        <v>1192.0292464576075</v>
      </c>
      <c r="N58" s="445">
        <f>$N$7</f>
        <v>0.079</v>
      </c>
      <c r="O58" s="359">
        <f>(M58*$O$7)+M58</f>
        <v>1286.1995569277585</v>
      </c>
      <c r="P58" s="359">
        <f>(O58*$P$7)+O58</f>
        <v>1387.8093219250513</v>
      </c>
    </row>
    <row r="59" spans="1:16" ht="13.5">
      <c r="A59" s="46" t="s">
        <v>680</v>
      </c>
      <c r="B59" s="47">
        <v>428.15520000000004</v>
      </c>
      <c r="C59" s="47">
        <v>493.66294560000006</v>
      </c>
      <c r="D59" s="588">
        <v>0.15300000000000002</v>
      </c>
      <c r="E59" s="47">
        <v>611.354944868976</v>
      </c>
      <c r="F59" s="47">
        <f>E59*1.1103</f>
        <v>678.7873952880241</v>
      </c>
      <c r="G59" s="590">
        <f>SUM(F59-E59)/E59</f>
        <v>0.11030000000000009</v>
      </c>
      <c r="H59" s="47">
        <v>805.8253072232379</v>
      </c>
      <c r="I59" s="47">
        <f>H59*1.155</f>
        <v>930.7282298428398</v>
      </c>
      <c r="J59" s="319">
        <f>I59*1.119</f>
        <v>1041.4848891941378</v>
      </c>
      <c r="K59" s="359">
        <v>1147.71634789194</v>
      </c>
      <c r="L59" s="359">
        <v>1147.71634789194</v>
      </c>
      <c r="M59" s="359">
        <f>(L59*N59)+L59</f>
        <v>1238.3859393754033</v>
      </c>
      <c r="N59" s="445">
        <f>$N$7</f>
        <v>0.079</v>
      </c>
      <c r="O59" s="359">
        <f>(M59*$O$7)+M59</f>
        <v>1336.21842858606</v>
      </c>
      <c r="P59" s="359">
        <f>(O59*$P$7)+O59</f>
        <v>1441.7796844443587</v>
      </c>
    </row>
    <row r="60" spans="1:16" ht="13.5">
      <c r="A60" s="46" t="s">
        <v>681</v>
      </c>
      <c r="B60" s="47">
        <v>483.10560000000004</v>
      </c>
      <c r="C60" s="47">
        <v>557.0207568000001</v>
      </c>
      <c r="D60" s="588">
        <v>0.15300000000000005</v>
      </c>
      <c r="E60" s="47">
        <v>689.817611590128</v>
      </c>
      <c r="F60" s="47">
        <f>E60*1.1103</f>
        <v>765.9044941485191</v>
      </c>
      <c r="G60" s="590">
        <f>SUM(F60-E60)/E60</f>
        <v>0.11030000000000005</v>
      </c>
      <c r="H60" s="47">
        <v>909.24673702729</v>
      </c>
      <c r="I60" s="47">
        <f>H60*1.155</f>
        <v>1050.17998126652</v>
      </c>
      <c r="J60" s="319">
        <f>I60*1.119</f>
        <v>1175.1513990372357</v>
      </c>
      <c r="K60" s="359">
        <v>1295.0168417390337</v>
      </c>
      <c r="L60" s="359">
        <v>1295.0168417390337</v>
      </c>
      <c r="M60" s="359">
        <f>(L60*N60)+L60</f>
        <v>1397.3231722364173</v>
      </c>
      <c r="N60" s="445">
        <f>$N$7</f>
        <v>0.079</v>
      </c>
      <c r="O60" s="359">
        <f>(M60*$O$7)+M60</f>
        <v>1507.7117028430944</v>
      </c>
      <c r="P60" s="359">
        <f>(O60*$P$7)+O60</f>
        <v>1626.820927367699</v>
      </c>
    </row>
    <row r="61" spans="1:16" ht="13.5">
      <c r="A61" s="46" t="s">
        <v>677</v>
      </c>
      <c r="B61" s="47">
        <v>509.43600000000004</v>
      </c>
      <c r="C61" s="47">
        <v>587.379708</v>
      </c>
      <c r="D61" s="588">
        <v>0.15300000000000002</v>
      </c>
      <c r="E61" s="47">
        <v>727.41430606068</v>
      </c>
      <c r="F61" s="47">
        <f>E61*1.1103</f>
        <v>807.648104019173</v>
      </c>
      <c r="G61" s="590">
        <f>SUM(F61-E61)/E61</f>
        <v>0.11030000000000004</v>
      </c>
      <c r="H61" s="47">
        <v>958.8028388083982</v>
      </c>
      <c r="I61" s="47">
        <f>H61*1.155</f>
        <v>1107.4172788237</v>
      </c>
      <c r="J61" s="319">
        <f>I61*1.119</f>
        <v>1239.1999350037202</v>
      </c>
      <c r="K61" s="359">
        <v>1365.5983283740995</v>
      </c>
      <c r="L61" s="359">
        <v>1365.5983283740995</v>
      </c>
      <c r="M61" s="359">
        <f>(L61*N61)+L61</f>
        <v>1473.4805963156534</v>
      </c>
      <c r="N61" s="445">
        <f>$N$7</f>
        <v>0.079</v>
      </c>
      <c r="O61" s="359">
        <f>(M61*$O$7)+M61</f>
        <v>1589.8855634245901</v>
      </c>
      <c r="P61" s="359">
        <f>(O61*$P$7)+O61</f>
        <v>1715.4865229351328</v>
      </c>
    </row>
    <row r="62" spans="1:16" ht="13.5">
      <c r="A62" s="46" t="s">
        <v>678</v>
      </c>
      <c r="B62" s="47">
        <v>773.8848</v>
      </c>
      <c r="C62" s="47">
        <v>892.2891744000001</v>
      </c>
      <c r="D62" s="588">
        <v>0.15300000000000005</v>
      </c>
      <c r="E62" s="47">
        <v>1105.015889656224</v>
      </c>
      <c r="F62" s="47">
        <f>E62*1.1103</f>
        <v>1226.8991422853057</v>
      </c>
      <c r="G62" s="590">
        <f>SUM(F62-E62)/E62</f>
        <v>0.11030000000000012</v>
      </c>
      <c r="H62" s="47">
        <v>1456.5184697403984</v>
      </c>
      <c r="I62" s="47">
        <f>H62*1.155</f>
        <v>1682.2788325501601</v>
      </c>
      <c r="J62" s="319">
        <f>I62*1.119</f>
        <v>1882.4700136236293</v>
      </c>
      <c r="K62" s="359">
        <v>2074.4819550132393</v>
      </c>
      <c r="L62" s="359">
        <v>2074.4819550132393</v>
      </c>
      <c r="M62" s="359">
        <f>(L62*N62)+L62</f>
        <v>2238.366029459285</v>
      </c>
      <c r="N62" s="445">
        <f>$N$7</f>
        <v>0.079</v>
      </c>
      <c r="O62" s="359">
        <f>(M62*$O$7)+M62</f>
        <v>2415.1969457865684</v>
      </c>
      <c r="P62" s="359">
        <f>(O62*$P$7)+O62</f>
        <v>2605.997504503707</v>
      </c>
    </row>
    <row r="63" spans="4:16" ht="13.5">
      <c r="D63" s="588"/>
      <c r="E63" s="575"/>
      <c r="F63" s="575"/>
      <c r="G63" s="588"/>
      <c r="H63" s="589"/>
      <c r="I63" s="589"/>
      <c r="L63" s="603"/>
      <c r="M63" s="603"/>
      <c r="N63" s="445"/>
      <c r="O63" s="359"/>
      <c r="P63" s="359"/>
    </row>
    <row r="64" spans="1:16" ht="13.5">
      <c r="A64" s="150" t="s">
        <v>1257</v>
      </c>
      <c r="D64" s="588"/>
      <c r="E64" s="575"/>
      <c r="F64" s="575"/>
      <c r="G64" s="588"/>
      <c r="H64" s="589"/>
      <c r="I64" s="589"/>
      <c r="L64" s="603"/>
      <c r="M64" s="603"/>
      <c r="N64" s="445"/>
      <c r="O64" s="359"/>
      <c r="P64" s="359"/>
    </row>
    <row r="65" spans="1:16" ht="13.5">
      <c r="A65" s="46" t="s">
        <v>680</v>
      </c>
      <c r="B65" s="46" t="s">
        <v>27</v>
      </c>
      <c r="C65" s="46" t="s">
        <v>27</v>
      </c>
      <c r="D65" s="588"/>
      <c r="E65" s="46" t="s">
        <v>27</v>
      </c>
      <c r="F65" s="46" t="s">
        <v>27</v>
      </c>
      <c r="G65" s="588"/>
      <c r="H65" s="589"/>
      <c r="I65" s="589" t="s">
        <v>27</v>
      </c>
      <c r="J65" s="576" t="s">
        <v>27</v>
      </c>
      <c r="K65" s="151" t="s">
        <v>27</v>
      </c>
      <c r="L65" s="151" t="s">
        <v>27</v>
      </c>
      <c r="M65" s="151" t="s">
        <v>27</v>
      </c>
      <c r="N65" s="445"/>
      <c r="O65" s="151" t="s">
        <v>27</v>
      </c>
      <c r="P65" s="151" t="s">
        <v>27</v>
      </c>
    </row>
    <row r="66" spans="1:16" ht="13.5">
      <c r="A66" s="46" t="s">
        <v>681</v>
      </c>
      <c r="B66" s="46" t="s">
        <v>27</v>
      </c>
      <c r="C66" s="46" t="s">
        <v>27</v>
      </c>
      <c r="D66" s="588"/>
      <c r="E66" s="46" t="s">
        <v>27</v>
      </c>
      <c r="F66" s="46" t="s">
        <v>27</v>
      </c>
      <c r="G66" s="588"/>
      <c r="H66" s="589"/>
      <c r="I66" s="589" t="s">
        <v>27</v>
      </c>
      <c r="J66" s="576" t="s">
        <v>27</v>
      </c>
      <c r="K66" s="151" t="s">
        <v>27</v>
      </c>
      <c r="L66" s="151" t="s">
        <v>27</v>
      </c>
      <c r="M66" s="151" t="s">
        <v>27</v>
      </c>
      <c r="N66" s="445"/>
      <c r="O66" s="151" t="s">
        <v>27</v>
      </c>
      <c r="P66" s="151" t="s">
        <v>27</v>
      </c>
    </row>
    <row r="67" spans="1:16" ht="13.5">
      <c r="A67" s="46" t="s">
        <v>682</v>
      </c>
      <c r="B67" s="46" t="s">
        <v>27</v>
      </c>
      <c r="C67" s="46" t="s">
        <v>27</v>
      </c>
      <c r="D67" s="588"/>
      <c r="E67" s="46" t="s">
        <v>27</v>
      </c>
      <c r="F67" s="46" t="s">
        <v>27</v>
      </c>
      <c r="G67" s="588"/>
      <c r="H67" s="589"/>
      <c r="I67" s="589" t="s">
        <v>27</v>
      </c>
      <c r="J67" s="576" t="s">
        <v>27</v>
      </c>
      <c r="K67" s="151" t="s">
        <v>27</v>
      </c>
      <c r="L67" s="151" t="s">
        <v>27</v>
      </c>
      <c r="M67" s="151" t="s">
        <v>27</v>
      </c>
      <c r="N67" s="445"/>
      <c r="O67" s="151" t="s">
        <v>27</v>
      </c>
      <c r="P67" s="151" t="s">
        <v>27</v>
      </c>
    </row>
    <row r="68" spans="1:16" ht="13.5">
      <c r="A68" s="46" t="s">
        <v>683</v>
      </c>
      <c r="B68" s="46" t="s">
        <v>27</v>
      </c>
      <c r="C68" s="46" t="s">
        <v>27</v>
      </c>
      <c r="D68" s="588"/>
      <c r="E68" s="46" t="s">
        <v>27</v>
      </c>
      <c r="F68" s="46" t="s">
        <v>27</v>
      </c>
      <c r="G68" s="588"/>
      <c r="H68" s="589"/>
      <c r="I68" s="589" t="s">
        <v>27</v>
      </c>
      <c r="J68" s="576" t="s">
        <v>27</v>
      </c>
      <c r="K68" s="151" t="s">
        <v>27</v>
      </c>
      <c r="L68" s="151" t="s">
        <v>27</v>
      </c>
      <c r="M68" s="151" t="s">
        <v>27</v>
      </c>
      <c r="N68" s="445"/>
      <c r="O68" s="151" t="s">
        <v>27</v>
      </c>
      <c r="P68" s="151" t="s">
        <v>27</v>
      </c>
    </row>
    <row r="69" spans="1:16" ht="13.5">
      <c r="A69" s="46" t="s">
        <v>684</v>
      </c>
      <c r="B69" s="46" t="s">
        <v>27</v>
      </c>
      <c r="C69" s="46" t="s">
        <v>27</v>
      </c>
      <c r="D69" s="588"/>
      <c r="E69" s="46" t="s">
        <v>27</v>
      </c>
      <c r="F69" s="46" t="s">
        <v>27</v>
      </c>
      <c r="G69" s="588"/>
      <c r="H69" s="589"/>
      <c r="I69" s="589"/>
      <c r="L69" s="603"/>
      <c r="M69" s="603"/>
      <c r="N69" s="445"/>
      <c r="O69" s="359"/>
      <c r="P69" s="359"/>
    </row>
    <row r="70" spans="4:16" ht="13.5">
      <c r="D70" s="588"/>
      <c r="E70" s="575"/>
      <c r="F70" s="575"/>
      <c r="G70" s="588"/>
      <c r="H70" s="589"/>
      <c r="I70" s="589"/>
      <c r="L70" s="603"/>
      <c r="M70" s="603"/>
      <c r="N70" s="445"/>
      <c r="O70" s="359"/>
      <c r="P70" s="359"/>
    </row>
    <row r="71" spans="1:16" ht="13.5">
      <c r="A71" s="150" t="s">
        <v>685</v>
      </c>
      <c r="D71" s="588"/>
      <c r="E71" s="575"/>
      <c r="F71" s="575"/>
      <c r="G71" s="588"/>
      <c r="H71" s="589"/>
      <c r="I71" s="589"/>
      <c r="L71" s="603"/>
      <c r="M71" s="603"/>
      <c r="N71" s="445"/>
      <c r="O71" s="359"/>
      <c r="P71" s="359"/>
    </row>
    <row r="72" spans="1:16" ht="13.5">
      <c r="A72" s="46" t="s">
        <v>686</v>
      </c>
      <c r="B72" s="47">
        <v>723.5136</v>
      </c>
      <c r="C72" s="47">
        <v>834.2111808</v>
      </c>
      <c r="D72" s="588">
        <v>0.15299999999999997</v>
      </c>
      <c r="E72" s="47">
        <v>1033.091778495168</v>
      </c>
      <c r="F72" s="47">
        <f>E72*1.1103</f>
        <v>1147.0418016631852</v>
      </c>
      <c r="G72" s="590">
        <f>SUM(F72-E72)/E72</f>
        <v>0.11030000000000016</v>
      </c>
      <c r="H72" s="47">
        <v>1361.7154924200174</v>
      </c>
      <c r="I72" s="47">
        <f>H72*1.155</f>
        <v>1572.78139374512</v>
      </c>
      <c r="J72" s="319">
        <f>I72*1.119</f>
        <v>1759.9423796007893</v>
      </c>
      <c r="K72" s="359">
        <v>1939.4565023200698</v>
      </c>
      <c r="L72" s="359">
        <v>1939.4565023200698</v>
      </c>
      <c r="M72" s="359">
        <f>(L72*N72)+L72</f>
        <v>2092.6735660033555</v>
      </c>
      <c r="N72" s="445">
        <f>$N$7</f>
        <v>0.079</v>
      </c>
      <c r="O72" s="359">
        <f>(M72*$O$7)+M72</f>
        <v>2257.9947777176208</v>
      </c>
      <c r="P72" s="359">
        <f>(O72*$P$7)+O72</f>
        <v>2436.3763651573126</v>
      </c>
    </row>
    <row r="73" spans="1:16" ht="13.5">
      <c r="A73" s="46" t="s">
        <v>687</v>
      </c>
      <c r="B73" s="47">
        <v>724.6584</v>
      </c>
      <c r="C73" s="47">
        <v>835.5311352000001</v>
      </c>
      <c r="D73" s="588">
        <v>0.1530000000000001</v>
      </c>
      <c r="E73" s="47">
        <v>1034.7264173851922</v>
      </c>
      <c r="F73" s="47">
        <f>E73*1.1103</f>
        <v>1148.856741222779</v>
      </c>
      <c r="G73" s="590">
        <f>SUM(F73-E73)/E73</f>
        <v>0.11030000000000002</v>
      </c>
      <c r="H73" s="47">
        <v>1363.8701055409351</v>
      </c>
      <c r="I73" s="47">
        <f>H73*1.155</f>
        <v>1575.26997189978</v>
      </c>
      <c r="J73" s="319">
        <f>I73*1.119</f>
        <v>1762.727098555854</v>
      </c>
      <c r="K73" s="359">
        <v>1942.525262608551</v>
      </c>
      <c r="L73" s="359">
        <v>1942.525262608551</v>
      </c>
      <c r="M73" s="359">
        <f>(L73*N73)+L73</f>
        <v>2095.9847583546266</v>
      </c>
      <c r="N73" s="445">
        <f>$N$7</f>
        <v>0.079</v>
      </c>
      <c r="O73" s="359">
        <f>(M73*$O$7)+M73</f>
        <v>2261.5675542646422</v>
      </c>
      <c r="P73" s="359">
        <f>(O73*$P$7)+O73</f>
        <v>2440.231391051549</v>
      </c>
    </row>
    <row r="74" spans="4:16" ht="13.5">
      <c r="D74" s="588"/>
      <c r="E74" s="575"/>
      <c r="F74" s="47"/>
      <c r="G74" s="590"/>
      <c r="H74" s="589"/>
      <c r="I74" s="589"/>
      <c r="J74" s="319"/>
      <c r="L74" s="603"/>
      <c r="M74" s="603"/>
      <c r="N74" s="445"/>
      <c r="O74" s="359"/>
      <c r="P74" s="359"/>
    </row>
    <row r="75" spans="1:16" ht="13.5">
      <c r="A75" s="150" t="s">
        <v>688</v>
      </c>
      <c r="D75" s="588"/>
      <c r="E75" s="575"/>
      <c r="F75" s="47"/>
      <c r="G75" s="590"/>
      <c r="H75" s="589"/>
      <c r="I75" s="589"/>
      <c r="J75" s="319"/>
      <c r="L75" s="603"/>
      <c r="M75" s="603"/>
      <c r="N75" s="445"/>
      <c r="O75" s="359"/>
      <c r="P75" s="359"/>
    </row>
    <row r="76" spans="1:16" ht="13.5">
      <c r="A76" s="46" t="s">
        <v>30</v>
      </c>
      <c r="B76" s="47">
        <v>3033.7200000000003</v>
      </c>
      <c r="C76" s="47">
        <v>3497.8791600000004</v>
      </c>
      <c r="D76" s="588">
        <v>0.15300000000000002</v>
      </c>
      <c r="E76" s="47">
        <v>4331.7930585636</v>
      </c>
      <c r="F76" s="47">
        <f>E76*1.1103</f>
        <v>4809.589832923166</v>
      </c>
      <c r="G76" s="590">
        <f>SUM(F76-E76)/E76</f>
        <v>0.11030000000000008</v>
      </c>
      <c r="H76" s="47">
        <v>5709.724770432034</v>
      </c>
      <c r="I76" s="47">
        <f>H76*1.155</f>
        <v>6594.732109849</v>
      </c>
      <c r="J76" s="319">
        <f>I76*1.119</f>
        <v>7379.505230921031</v>
      </c>
      <c r="K76" s="359">
        <v>8132.214764474977</v>
      </c>
      <c r="L76" s="359">
        <v>8132.214764474977</v>
      </c>
      <c r="M76" s="359">
        <f>(L76*N76)+L76</f>
        <v>8774.6597308685</v>
      </c>
      <c r="N76" s="445">
        <f>$N$7</f>
        <v>0.079</v>
      </c>
      <c r="O76" s="359">
        <f>(M76*$O$7)+M76</f>
        <v>9467.857849607111</v>
      </c>
      <c r="P76" s="359">
        <f>(O76*$P$7)+O76</f>
        <v>10215.818619726073</v>
      </c>
    </row>
    <row r="77" spans="1:16" ht="13.5">
      <c r="A77" s="46" t="s">
        <v>31</v>
      </c>
      <c r="B77" s="47">
        <v>3033.7200000000003</v>
      </c>
      <c r="C77" s="47">
        <v>3497.8791600000004</v>
      </c>
      <c r="D77" s="588">
        <v>0.15300000000000002</v>
      </c>
      <c r="E77" s="47">
        <v>4331.7930585636</v>
      </c>
      <c r="F77" s="47">
        <f>E77*1.1103</f>
        <v>4809.589832923166</v>
      </c>
      <c r="G77" s="590">
        <f>SUM(F77-E77)/E77</f>
        <v>0.11030000000000008</v>
      </c>
      <c r="H77" s="47">
        <v>5709.724770432034</v>
      </c>
      <c r="I77" s="47">
        <f>H77*1.155</f>
        <v>6594.732109849</v>
      </c>
      <c r="J77" s="319">
        <f>I77*1.119</f>
        <v>7379.505230921031</v>
      </c>
      <c r="K77" s="359">
        <v>8132.214764474977</v>
      </c>
      <c r="L77" s="359">
        <v>8132.214764474977</v>
      </c>
      <c r="M77" s="359">
        <f>(L77*N77)+L77</f>
        <v>8774.6597308685</v>
      </c>
      <c r="N77" s="445">
        <f>$N$7</f>
        <v>0.079</v>
      </c>
      <c r="O77" s="359">
        <f>(M77*$O$7)+M77</f>
        <v>9467.857849607111</v>
      </c>
      <c r="P77" s="359">
        <f>(O77*$P$7)+O77</f>
        <v>10215.818619726073</v>
      </c>
    </row>
    <row r="78" spans="4:16" ht="13.5">
      <c r="D78" s="588"/>
      <c r="E78" s="575"/>
      <c r="F78" s="47"/>
      <c r="G78" s="590"/>
      <c r="H78" s="589"/>
      <c r="I78" s="589"/>
      <c r="J78" s="319"/>
      <c r="L78" s="603"/>
      <c r="M78" s="603"/>
      <c r="N78" s="445"/>
      <c r="O78" s="359"/>
      <c r="P78" s="359"/>
    </row>
    <row r="79" spans="1:16" ht="13.5">
      <c r="A79" s="150" t="s">
        <v>689</v>
      </c>
      <c r="D79" s="588"/>
      <c r="E79" s="575"/>
      <c r="F79" s="47"/>
      <c r="G79" s="590"/>
      <c r="H79" s="589"/>
      <c r="I79" s="589"/>
      <c r="J79" s="319"/>
      <c r="L79" s="603"/>
      <c r="M79" s="603"/>
      <c r="N79" s="445"/>
      <c r="O79" s="359"/>
      <c r="P79" s="359"/>
    </row>
    <row r="80" spans="1:16" ht="13.5">
      <c r="A80" s="46" t="s">
        <v>1264</v>
      </c>
      <c r="B80" s="47">
        <v>3033.7200000000003</v>
      </c>
      <c r="C80" s="47">
        <v>3497.8791600000004</v>
      </c>
      <c r="D80" s="588">
        <v>0.15300000000000002</v>
      </c>
      <c r="E80" s="47">
        <v>4331.7930585636</v>
      </c>
      <c r="F80" s="47">
        <f>E80*1.1103</f>
        <v>4809.589832923166</v>
      </c>
      <c r="G80" s="590">
        <f aca="true" t="shared" si="5" ref="G80:G86">SUM(F80-E80)/E80</f>
        <v>0.11030000000000008</v>
      </c>
      <c r="H80" s="47">
        <v>5709.724770432034</v>
      </c>
      <c r="I80" s="47">
        <f aca="true" t="shared" si="6" ref="I80:I86">H80*1.155</f>
        <v>6594.732109849</v>
      </c>
      <c r="J80" s="319">
        <f>I80*1.119</f>
        <v>7379.505230921031</v>
      </c>
      <c r="K80" s="359">
        <v>8132.214764474977</v>
      </c>
      <c r="L80" s="359">
        <v>8132.214764474977</v>
      </c>
      <c r="M80" s="359">
        <f aca="true" t="shared" si="7" ref="M80:M86">(L80*N80)+L80</f>
        <v>8774.6597308685</v>
      </c>
      <c r="N80" s="445">
        <f aca="true" t="shared" si="8" ref="N80:N86">$N$7</f>
        <v>0.079</v>
      </c>
      <c r="O80" s="359">
        <f aca="true" t="shared" si="9" ref="O80:O86">(M80*$O$7)+M80</f>
        <v>9467.857849607111</v>
      </c>
      <c r="P80" s="359">
        <f aca="true" t="shared" si="10" ref="P80:P86">(O80*$P$7)+O80</f>
        <v>10215.818619726073</v>
      </c>
    </row>
    <row r="81" spans="1:16" ht="13.5">
      <c r="A81" s="46" t="s">
        <v>1265</v>
      </c>
      <c r="B81" s="47">
        <v>3033.7200000000003</v>
      </c>
      <c r="C81" s="47">
        <v>3497.8791600000004</v>
      </c>
      <c r="D81" s="588">
        <v>0.15300000000000002</v>
      </c>
      <c r="E81" s="47">
        <v>4331.7930585636</v>
      </c>
      <c r="F81" s="47">
        <f aca="true" t="shared" si="11" ref="F81:F86">E81*1.1103</f>
        <v>4809.589832923166</v>
      </c>
      <c r="G81" s="590">
        <f t="shared" si="5"/>
        <v>0.11030000000000008</v>
      </c>
      <c r="H81" s="47">
        <v>5709.724770432034</v>
      </c>
      <c r="I81" s="47">
        <f t="shared" si="6"/>
        <v>6594.732109849</v>
      </c>
      <c r="J81" s="319">
        <f aca="true" t="shared" si="12" ref="J81:J86">I81*1.119</f>
        <v>7379.505230921031</v>
      </c>
      <c r="K81" s="359">
        <v>8132.214764474977</v>
      </c>
      <c r="L81" s="359">
        <v>8132.214764474977</v>
      </c>
      <c r="M81" s="359">
        <f t="shared" si="7"/>
        <v>8774.6597308685</v>
      </c>
      <c r="N81" s="445">
        <f t="shared" si="8"/>
        <v>0.079</v>
      </c>
      <c r="O81" s="359">
        <f t="shared" si="9"/>
        <v>9467.857849607111</v>
      </c>
      <c r="P81" s="359">
        <f t="shared" si="10"/>
        <v>10215.818619726073</v>
      </c>
    </row>
    <row r="82" spans="1:16" ht="13.5">
      <c r="A82" s="46" t="s">
        <v>1266</v>
      </c>
      <c r="B82" s="47">
        <v>3033.7200000000003</v>
      </c>
      <c r="C82" s="47">
        <v>3497.8791600000004</v>
      </c>
      <c r="D82" s="588">
        <v>0.15300000000000002</v>
      </c>
      <c r="E82" s="47">
        <v>4331.7930585636</v>
      </c>
      <c r="F82" s="47">
        <f t="shared" si="11"/>
        <v>4809.589832923166</v>
      </c>
      <c r="G82" s="590">
        <f t="shared" si="5"/>
        <v>0.11030000000000008</v>
      </c>
      <c r="H82" s="47">
        <v>5709.724770432034</v>
      </c>
      <c r="I82" s="47">
        <f t="shared" si="6"/>
        <v>6594.732109849</v>
      </c>
      <c r="J82" s="319">
        <f t="shared" si="12"/>
        <v>7379.505230921031</v>
      </c>
      <c r="K82" s="359">
        <v>8132.214764474977</v>
      </c>
      <c r="L82" s="359">
        <v>8132.214764474977</v>
      </c>
      <c r="M82" s="359">
        <f t="shared" si="7"/>
        <v>8774.6597308685</v>
      </c>
      <c r="N82" s="445">
        <f t="shared" si="8"/>
        <v>0.079</v>
      </c>
      <c r="O82" s="359">
        <f t="shared" si="9"/>
        <v>9467.857849607111</v>
      </c>
      <c r="P82" s="359">
        <f t="shared" si="10"/>
        <v>10215.818619726073</v>
      </c>
    </row>
    <row r="83" spans="1:16" ht="13.5">
      <c r="A83" s="46" t="s">
        <v>32</v>
      </c>
      <c r="B83" s="47">
        <v>437.31360000000006</v>
      </c>
      <c r="C83" s="47">
        <v>504.22258080000006</v>
      </c>
      <c r="D83" s="588">
        <v>0.15299999999999997</v>
      </c>
      <c r="E83" s="47">
        <v>624.4320559891681</v>
      </c>
      <c r="F83" s="47">
        <f t="shared" si="11"/>
        <v>693.3069117647734</v>
      </c>
      <c r="G83" s="590">
        <f t="shared" si="5"/>
        <v>0.11030000000000006</v>
      </c>
      <c r="H83" s="47">
        <v>823.0622121905802</v>
      </c>
      <c r="I83" s="47">
        <f t="shared" si="6"/>
        <v>950.6368550801202</v>
      </c>
      <c r="J83" s="319">
        <f t="shared" si="12"/>
        <v>1063.7626408346546</v>
      </c>
      <c r="K83" s="359">
        <v>1172.2664301997893</v>
      </c>
      <c r="L83" s="359">
        <v>1172.2664301997893</v>
      </c>
      <c r="M83" s="359">
        <f t="shared" si="7"/>
        <v>1264.8754781855725</v>
      </c>
      <c r="N83" s="445">
        <f t="shared" si="8"/>
        <v>0.079</v>
      </c>
      <c r="O83" s="359">
        <f t="shared" si="9"/>
        <v>1364.8006409622328</v>
      </c>
      <c r="P83" s="359">
        <f t="shared" si="10"/>
        <v>1472.6198915982493</v>
      </c>
    </row>
    <row r="84" spans="1:16" ht="13.5">
      <c r="A84" s="46" t="s">
        <v>33</v>
      </c>
      <c r="B84" s="47">
        <v>2426.976</v>
      </c>
      <c r="C84" s="47">
        <v>2798.303328</v>
      </c>
      <c r="D84" s="588">
        <v>0.15299999999999994</v>
      </c>
      <c r="E84" s="47">
        <v>3465.4344468508802</v>
      </c>
      <c r="F84" s="47">
        <f t="shared" si="11"/>
        <v>3847.6718663385327</v>
      </c>
      <c r="G84" s="590">
        <f t="shared" si="5"/>
        <v>0.1103000000000001</v>
      </c>
      <c r="H84" s="47">
        <v>4567.779816345628</v>
      </c>
      <c r="I84" s="47">
        <f t="shared" si="6"/>
        <v>5275.785687879201</v>
      </c>
      <c r="J84" s="319">
        <v>5903.6</v>
      </c>
      <c r="K84" s="359">
        <v>6505.7672</v>
      </c>
      <c r="L84" s="359">
        <v>6505.7672</v>
      </c>
      <c r="M84" s="359">
        <f t="shared" si="7"/>
        <v>7019.7228088</v>
      </c>
      <c r="N84" s="445">
        <f t="shared" si="8"/>
        <v>0.079</v>
      </c>
      <c r="O84" s="359">
        <f t="shared" si="9"/>
        <v>7574.2809106952</v>
      </c>
      <c r="P84" s="359">
        <f t="shared" si="10"/>
        <v>8172.649102640121</v>
      </c>
    </row>
    <row r="85" spans="1:16" ht="13.5">
      <c r="A85" s="46" t="s">
        <v>34</v>
      </c>
      <c r="B85" s="47">
        <v>467.07840000000004</v>
      </c>
      <c r="C85" s="47">
        <v>538.5413952</v>
      </c>
      <c r="D85" s="588">
        <v>0.1529999999999999</v>
      </c>
      <c r="E85" s="47">
        <v>666.932667129792</v>
      </c>
      <c r="F85" s="47">
        <f t="shared" si="11"/>
        <v>740.4953403142081</v>
      </c>
      <c r="G85" s="590">
        <f t="shared" si="5"/>
        <v>0.11030000000000006</v>
      </c>
      <c r="H85" s="47">
        <v>879.0821533344414</v>
      </c>
      <c r="I85" s="47">
        <f t="shared" si="6"/>
        <v>1015.3398871012798</v>
      </c>
      <c r="J85" s="319">
        <f t="shared" si="12"/>
        <v>1136.1653336663321</v>
      </c>
      <c r="K85" s="359">
        <v>1252.054197700298</v>
      </c>
      <c r="L85" s="359">
        <v>1252.054197700298</v>
      </c>
      <c r="M85" s="359">
        <f t="shared" si="7"/>
        <v>1350.9664793186214</v>
      </c>
      <c r="N85" s="445">
        <f t="shared" si="8"/>
        <v>0.079</v>
      </c>
      <c r="O85" s="359">
        <f t="shared" si="9"/>
        <v>1457.6928311847926</v>
      </c>
      <c r="P85" s="359">
        <f t="shared" si="10"/>
        <v>1572.8505648483913</v>
      </c>
    </row>
    <row r="86" spans="1:16" ht="13.5">
      <c r="A86" s="46" t="s">
        <v>35</v>
      </c>
      <c r="B86" s="47">
        <v>424.7208</v>
      </c>
      <c r="C86" s="47">
        <v>489.7030824</v>
      </c>
      <c r="D86" s="588">
        <v>0.15300000000000008</v>
      </c>
      <c r="E86" s="47">
        <v>606.451028198904</v>
      </c>
      <c r="F86" s="47">
        <f t="shared" si="11"/>
        <v>673.3425766092432</v>
      </c>
      <c r="G86" s="590">
        <f t="shared" si="5"/>
        <v>0.11030000000000008</v>
      </c>
      <c r="H86" s="47">
        <v>799.3614678604849</v>
      </c>
      <c r="I86" s="47">
        <f t="shared" si="6"/>
        <v>923.2624953788601</v>
      </c>
      <c r="J86" s="319">
        <f t="shared" si="12"/>
        <v>1033.1307323289445</v>
      </c>
      <c r="K86" s="359">
        <v>1138.510067026497</v>
      </c>
      <c r="L86" s="359">
        <v>1138.510067026497</v>
      </c>
      <c r="M86" s="359">
        <f t="shared" si="7"/>
        <v>1228.4523623215903</v>
      </c>
      <c r="N86" s="445">
        <f t="shared" si="8"/>
        <v>0.079</v>
      </c>
      <c r="O86" s="359">
        <f t="shared" si="9"/>
        <v>1325.500098944996</v>
      </c>
      <c r="P86" s="359">
        <f t="shared" si="10"/>
        <v>1430.2146067616507</v>
      </c>
    </row>
    <row r="87" spans="1:16" ht="13.5">
      <c r="A87" s="46" t="s">
        <v>690</v>
      </c>
      <c r="B87" s="46" t="s">
        <v>27</v>
      </c>
      <c r="C87" s="46" t="s">
        <v>27</v>
      </c>
      <c r="D87" s="588"/>
      <c r="E87" s="46" t="s">
        <v>27</v>
      </c>
      <c r="F87" s="46" t="s">
        <v>27</v>
      </c>
      <c r="G87" s="588"/>
      <c r="H87" s="589" t="s">
        <v>27</v>
      </c>
      <c r="I87" s="589" t="s">
        <v>27</v>
      </c>
      <c r="J87" s="576" t="s">
        <v>27</v>
      </c>
      <c r="K87" s="151" t="s">
        <v>27</v>
      </c>
      <c r="L87" s="603"/>
      <c r="M87" s="603"/>
      <c r="N87" s="445"/>
      <c r="O87" s="359"/>
      <c r="P87" s="359"/>
    </row>
    <row r="88" spans="1:16" ht="13.5">
      <c r="A88" s="46" t="s">
        <v>691</v>
      </c>
      <c r="B88" s="46" t="s">
        <v>27</v>
      </c>
      <c r="C88" s="46" t="s">
        <v>27</v>
      </c>
      <c r="D88" s="588"/>
      <c r="E88" s="46" t="s">
        <v>27</v>
      </c>
      <c r="F88" s="46" t="s">
        <v>27</v>
      </c>
      <c r="G88" s="588"/>
      <c r="H88" s="589" t="s">
        <v>27</v>
      </c>
      <c r="I88" s="589" t="s">
        <v>27</v>
      </c>
      <c r="J88" s="576" t="s">
        <v>27</v>
      </c>
      <c r="K88" s="151" t="s">
        <v>27</v>
      </c>
      <c r="L88" s="603"/>
      <c r="M88" s="603"/>
      <c r="N88" s="445"/>
      <c r="O88" s="359"/>
      <c r="P88" s="359"/>
    </row>
    <row r="89" spans="1:16" ht="13.5">
      <c r="A89" s="46" t="s">
        <v>692</v>
      </c>
      <c r="B89" s="47">
        <v>500</v>
      </c>
      <c r="C89" s="47">
        <v>576.5</v>
      </c>
      <c r="D89" s="588">
        <v>0.153</v>
      </c>
      <c r="E89" s="47">
        <v>713.940815</v>
      </c>
      <c r="F89" s="589">
        <f>E89*1.1103</f>
        <v>792.6884868945001</v>
      </c>
      <c r="G89" s="590">
        <f>SUM(F89-E89)/E89</f>
        <v>0.11030000000000008</v>
      </c>
      <c r="H89" s="589">
        <v>941.0434665084507</v>
      </c>
      <c r="I89" s="47">
        <f>H89*1.155</f>
        <v>1086.9052038172606</v>
      </c>
      <c r="J89" s="319">
        <f>I89*1.119</f>
        <v>1216.2469230715146</v>
      </c>
      <c r="K89" s="359">
        <v>1312.3304299941642</v>
      </c>
      <c r="L89" s="359">
        <v>1216.2469230715146</v>
      </c>
      <c r="M89" s="359">
        <f aca="true" t="shared" si="13" ref="M89:M94">(L89*N89)+L89</f>
        <v>1312.3304299941642</v>
      </c>
      <c r="N89" s="445">
        <f aca="true" t="shared" si="14" ref="N89:N94">$N$7</f>
        <v>0.079</v>
      </c>
      <c r="O89" s="359">
        <f aca="true" t="shared" si="15" ref="O89:O94">(M89*$O$7)+M89</f>
        <v>1416.0045339637031</v>
      </c>
      <c r="P89" s="359">
        <f aca="true" t="shared" si="16" ref="P89:P94">(O89*$P$7)+O89</f>
        <v>1527.8688921468356</v>
      </c>
    </row>
    <row r="90" spans="1:16" s="157" customFormat="1" ht="13.5">
      <c r="A90" s="157" t="s">
        <v>1166</v>
      </c>
      <c r="G90" s="761"/>
      <c r="H90" s="761"/>
      <c r="I90" s="761">
        <v>0</v>
      </c>
      <c r="J90" s="762">
        <v>0</v>
      </c>
      <c r="L90" s="359">
        <v>30000</v>
      </c>
      <c r="M90" s="359">
        <f t="shared" si="13"/>
        <v>32370</v>
      </c>
      <c r="N90" s="445">
        <f t="shared" si="14"/>
        <v>0.079</v>
      </c>
      <c r="O90" s="359">
        <f t="shared" si="15"/>
        <v>34927.23</v>
      </c>
      <c r="P90" s="359">
        <f t="shared" si="16"/>
        <v>37686.48117000001</v>
      </c>
    </row>
    <row r="91" spans="1:16" s="157" customFormat="1" ht="14.25" customHeight="1">
      <c r="A91" s="157" t="s">
        <v>1167</v>
      </c>
      <c r="G91" s="761"/>
      <c r="H91" s="761"/>
      <c r="I91" s="761"/>
      <c r="J91" s="762"/>
      <c r="K91" s="763">
        <v>100000</v>
      </c>
      <c r="L91" s="359">
        <v>112199.99999999999</v>
      </c>
      <c r="M91" s="359">
        <f t="shared" si="13"/>
        <v>121063.79999999999</v>
      </c>
      <c r="N91" s="445">
        <f t="shared" si="14"/>
        <v>0.079</v>
      </c>
      <c r="O91" s="359">
        <f t="shared" si="15"/>
        <v>130627.84019999999</v>
      </c>
      <c r="P91" s="359">
        <f t="shared" si="16"/>
        <v>140947.4395758</v>
      </c>
    </row>
    <row r="92" spans="1:16" s="157" customFormat="1" ht="13.5">
      <c r="A92" s="157" t="s">
        <v>1168</v>
      </c>
      <c r="G92" s="761"/>
      <c r="H92" s="761"/>
      <c r="I92" s="761"/>
      <c r="J92" s="762"/>
      <c r="L92" s="359">
        <v>200000</v>
      </c>
      <c r="M92" s="359">
        <f t="shared" si="13"/>
        <v>215800</v>
      </c>
      <c r="N92" s="445">
        <f t="shared" si="14"/>
        <v>0.079</v>
      </c>
      <c r="O92" s="359">
        <f t="shared" si="15"/>
        <v>232848.2</v>
      </c>
      <c r="P92" s="359">
        <f t="shared" si="16"/>
        <v>251243.2078</v>
      </c>
    </row>
    <row r="93" spans="1:16" s="157" customFormat="1" ht="13.5">
      <c r="A93" s="157" t="s">
        <v>1169</v>
      </c>
      <c r="G93" s="761"/>
      <c r="H93" s="761"/>
      <c r="I93" s="761"/>
      <c r="J93" s="762"/>
      <c r="L93" s="359">
        <v>500000</v>
      </c>
      <c r="M93" s="359">
        <f t="shared" si="13"/>
        <v>539500</v>
      </c>
      <c r="N93" s="445">
        <f t="shared" si="14"/>
        <v>0.079</v>
      </c>
      <c r="O93" s="359">
        <f t="shared" si="15"/>
        <v>582120.5</v>
      </c>
      <c r="P93" s="359">
        <f t="shared" si="16"/>
        <v>628108.0195</v>
      </c>
    </row>
    <row r="94" spans="1:16" ht="13.5">
      <c r="A94" s="106" t="s">
        <v>671</v>
      </c>
      <c r="B94" s="46" t="s">
        <v>27</v>
      </c>
      <c r="C94" s="46" t="s">
        <v>27</v>
      </c>
      <c r="D94" s="588"/>
      <c r="E94" s="46" t="s">
        <v>27</v>
      </c>
      <c r="F94" s="46" t="s">
        <v>27</v>
      </c>
      <c r="G94" s="588"/>
      <c r="H94" s="589"/>
      <c r="I94" s="589" t="s">
        <v>27</v>
      </c>
      <c r="J94" s="576" t="s">
        <v>27</v>
      </c>
      <c r="K94" s="151" t="s">
        <v>27</v>
      </c>
      <c r="L94" s="603">
        <v>112000</v>
      </c>
      <c r="M94" s="603">
        <f t="shared" si="13"/>
        <v>120848</v>
      </c>
      <c r="N94" s="445">
        <f t="shared" si="14"/>
        <v>0.079</v>
      </c>
      <c r="O94" s="359">
        <f t="shared" si="15"/>
        <v>130394.992</v>
      </c>
      <c r="P94" s="359">
        <f t="shared" si="16"/>
        <v>140696.196368</v>
      </c>
    </row>
    <row r="95" spans="2:16" ht="13.5">
      <c r="B95" s="47"/>
      <c r="C95" s="47"/>
      <c r="D95" s="588"/>
      <c r="E95" s="575"/>
      <c r="F95" s="575"/>
      <c r="J95" s="319"/>
      <c r="K95" s="359"/>
      <c r="L95" s="359"/>
      <c r="M95" s="359"/>
      <c r="O95" s="359"/>
      <c r="P95" s="359"/>
    </row>
    <row r="96" spans="1:13" ht="53.25" customHeight="1">
      <c r="A96" s="591" t="s">
        <v>1203</v>
      </c>
      <c r="D96" s="592"/>
      <c r="E96" s="575"/>
      <c r="F96" s="575"/>
      <c r="J96" s="319"/>
      <c r="K96" s="359"/>
      <c r="L96" s="359"/>
      <c r="M96" s="359"/>
    </row>
    <row r="97" spans="4:13" ht="13.5">
      <c r="D97" s="592"/>
      <c r="E97" s="575"/>
      <c r="F97" s="575"/>
      <c r="J97" s="319"/>
      <c r="K97" s="359"/>
      <c r="L97" s="359"/>
      <c r="M97" s="359"/>
    </row>
    <row r="98" spans="1:13" s="577" customFormat="1" ht="27">
      <c r="A98" s="699" t="s">
        <v>1164</v>
      </c>
      <c r="J98" s="605"/>
      <c r="K98" s="606"/>
      <c r="L98" s="606"/>
      <c r="M98" s="606"/>
    </row>
    <row r="99" spans="1:13" s="577" customFormat="1" ht="13.5">
      <c r="A99" s="150" t="s">
        <v>1165</v>
      </c>
      <c r="J99" s="605"/>
      <c r="K99" s="607"/>
      <c r="L99" s="607"/>
      <c r="M99" s="607"/>
    </row>
    <row r="100" spans="1:13" ht="13.5">
      <c r="A100" s="577"/>
      <c r="J100" s="319"/>
      <c r="K100" s="46"/>
      <c r="L100" s="46"/>
      <c r="M100" s="46"/>
    </row>
    <row r="101" spans="10:13" ht="13.5">
      <c r="J101" s="319"/>
      <c r="K101" s="46"/>
      <c r="L101" s="46"/>
      <c r="M101" s="46"/>
    </row>
    <row r="102" spans="10:13" ht="13.5">
      <c r="J102" s="319"/>
      <c r="K102" s="46"/>
      <c r="L102" s="46"/>
      <c r="M102" s="46"/>
    </row>
    <row r="103" spans="10:13" ht="13.5">
      <c r="J103" s="319"/>
      <c r="K103" s="46"/>
      <c r="L103" s="46"/>
      <c r="M103" s="46"/>
    </row>
    <row r="104" spans="10:13" ht="13.5">
      <c r="J104" s="319"/>
      <c r="K104" s="46"/>
      <c r="L104" s="46"/>
      <c r="M104" s="46"/>
    </row>
    <row r="105" spans="10:13" ht="13.5">
      <c r="J105" s="319"/>
      <c r="K105" s="46"/>
      <c r="L105" s="46"/>
      <c r="M105" s="46"/>
    </row>
    <row r="106" spans="10:13" ht="13.5">
      <c r="J106" s="319"/>
      <c r="K106" s="46"/>
      <c r="L106" s="46"/>
      <c r="M106" s="46"/>
    </row>
  </sheetData>
  <sheetProtection/>
  <mergeCells count="1">
    <mergeCell ref="L1:N1"/>
  </mergeCells>
  <printOptions gridLines="1"/>
  <pageMargins left="0.7086614173228347" right="0.7086614173228347" top="0.7480314960629921" bottom="0.7480314960629921" header="0.31496062992125984" footer="0.31496062992125984"/>
  <pageSetup horizontalDpi="600" verticalDpi="600" orientation="landscape" paperSize="9" scale="60" r:id="rId3"/>
  <rowBreaks count="3" manualBreakCount="3">
    <brk id="31" max="15" man="1"/>
    <brk id="62" max="15" man="1"/>
    <brk id="108" max="6" man="1"/>
  </rowBreaks>
  <legacyDrawing r:id="rId2"/>
</worksheet>
</file>

<file path=xl/worksheets/sheet4.xml><?xml version="1.0" encoding="utf-8"?>
<worksheet xmlns="http://schemas.openxmlformats.org/spreadsheetml/2006/main" xmlns:r="http://schemas.openxmlformats.org/officeDocument/2006/relationships">
  <dimension ref="A1:N137"/>
  <sheetViews>
    <sheetView zoomScale="90" zoomScaleNormal="90"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J27" sqref="J27"/>
    </sheetView>
  </sheetViews>
  <sheetFormatPr defaultColWidth="9.140625" defaultRowHeight="12.75"/>
  <cols>
    <col min="1" max="1" width="104.8515625" style="54" customWidth="1"/>
    <col min="2" max="2" width="21.421875" style="54" hidden="1" customWidth="1"/>
    <col min="3" max="3" width="16.57421875" style="54" hidden="1" customWidth="1"/>
    <col min="4" max="4" width="14.00390625" style="54" hidden="1" customWidth="1"/>
    <col min="5" max="5" width="22.57421875" style="54" hidden="1" customWidth="1"/>
    <col min="6" max="6" width="23.140625" style="54" hidden="1" customWidth="1"/>
    <col min="7" max="7" width="22.57421875" style="319" hidden="1" customWidth="1"/>
    <col min="8" max="8" width="16.57421875" style="304" hidden="1" customWidth="1"/>
    <col min="9" max="9" width="16.140625" style="304" bestFit="1" customWidth="1"/>
    <col min="10" max="10" width="24.00390625" style="304" customWidth="1"/>
    <col min="11" max="11" width="23.57421875" style="54" customWidth="1"/>
    <col min="12" max="12" width="15.421875" style="54" customWidth="1"/>
    <col min="13" max="14" width="14.8515625" style="54" customWidth="1"/>
    <col min="15" max="16384" width="9.140625" style="54" customWidth="1"/>
  </cols>
  <sheetData>
    <row r="1" spans="5:12" s="18" customFormat="1" ht="17.25">
      <c r="E1" s="50"/>
      <c r="F1" s="50" t="s">
        <v>1047</v>
      </c>
      <c r="G1" s="975" t="s">
        <v>1083</v>
      </c>
      <c r="H1" s="975"/>
      <c r="I1" s="975"/>
      <c r="J1" s="975"/>
      <c r="K1" s="975"/>
      <c r="L1" s="975"/>
    </row>
    <row r="2" spans="1:10" s="18" customFormat="1" ht="17.25">
      <c r="A2" s="706" t="s">
        <v>20</v>
      </c>
      <c r="B2" s="51"/>
      <c r="C2" s="51"/>
      <c r="G2" s="318"/>
      <c r="H2" s="303"/>
      <c r="I2" s="303"/>
      <c r="J2" s="303"/>
    </row>
    <row r="3" spans="1:10" s="18" customFormat="1" ht="17.25">
      <c r="A3" s="55" t="s">
        <v>1522</v>
      </c>
      <c r="B3" s="51"/>
      <c r="C3" s="51"/>
      <c r="G3" s="318"/>
      <c r="H3" s="303"/>
      <c r="I3" s="303"/>
      <c r="J3" s="303"/>
    </row>
    <row r="4" spans="1:3" ht="13.5">
      <c r="A4" s="52"/>
      <c r="B4" s="53"/>
      <c r="C4" s="53"/>
    </row>
    <row r="5" spans="1:3" ht="13.5">
      <c r="A5" s="696" t="s">
        <v>311</v>
      </c>
      <c r="B5" s="53"/>
      <c r="C5" s="53"/>
    </row>
    <row r="6" spans="1:14" s="60" customFormat="1" ht="54">
      <c r="A6" s="87" t="s">
        <v>693</v>
      </c>
      <c r="B6" s="88" t="s">
        <v>529</v>
      </c>
      <c r="C6" s="89" t="s">
        <v>566</v>
      </c>
      <c r="D6" s="90" t="s">
        <v>22</v>
      </c>
      <c r="E6" s="91" t="s">
        <v>825</v>
      </c>
      <c r="F6" s="91" t="s">
        <v>921</v>
      </c>
      <c r="G6" s="320" t="s">
        <v>965</v>
      </c>
      <c r="H6" s="664" t="s">
        <v>1281</v>
      </c>
      <c r="I6" s="664" t="s">
        <v>1280</v>
      </c>
      <c r="J6" s="664" t="s">
        <v>1512</v>
      </c>
      <c r="K6" s="659" t="s">
        <v>958</v>
      </c>
      <c r="L6" s="660" t="s">
        <v>1513</v>
      </c>
      <c r="M6" s="661" t="s">
        <v>1514</v>
      </c>
      <c r="N6" s="661"/>
    </row>
    <row r="7" spans="1:13" s="14" customFormat="1" ht="13.5">
      <c r="A7" s="56"/>
      <c r="B7" s="57" t="s">
        <v>366</v>
      </c>
      <c r="C7" s="57" t="s">
        <v>366</v>
      </c>
      <c r="D7" s="14" t="s">
        <v>371</v>
      </c>
      <c r="E7" s="57"/>
      <c r="F7" s="258" t="s">
        <v>366</v>
      </c>
      <c r="G7" s="321" t="s">
        <v>366</v>
      </c>
      <c r="H7" s="305" t="s">
        <v>366</v>
      </c>
      <c r="I7" s="305" t="s">
        <v>366</v>
      </c>
      <c r="J7" s="305" t="s">
        <v>366</v>
      </c>
      <c r="K7" s="277"/>
      <c r="L7" s="305" t="s">
        <v>366</v>
      </c>
      <c r="M7" s="305" t="s">
        <v>366</v>
      </c>
    </row>
    <row r="8" spans="1:13" s="14" customFormat="1" ht="13.5">
      <c r="A8" s="56"/>
      <c r="B8" s="57"/>
      <c r="C8" s="57"/>
      <c r="E8" s="57"/>
      <c r="F8" s="258"/>
      <c r="G8" s="321"/>
      <c r="H8" s="277">
        <v>0.102</v>
      </c>
      <c r="I8" s="305" t="s">
        <v>1273</v>
      </c>
      <c r="J8" s="305"/>
      <c r="K8" s="277">
        <v>0.079</v>
      </c>
      <c r="L8" s="277">
        <v>0.079</v>
      </c>
      <c r="M8" s="277">
        <v>0.079</v>
      </c>
    </row>
    <row r="9" spans="1:13" ht="13.5">
      <c r="A9" s="58" t="s">
        <v>694</v>
      </c>
      <c r="B9" s="61">
        <v>124.72261999999999</v>
      </c>
      <c r="C9" s="62">
        <f>B9*1.1</f>
        <v>137.194882</v>
      </c>
      <c r="D9" s="62">
        <f>SUM(C9-B9)/B9</f>
        <v>0.10000000000000013</v>
      </c>
      <c r="E9" s="23">
        <v>160.17228083736</v>
      </c>
      <c r="F9" s="23">
        <f>E9*1.12</f>
        <v>179.39295453784322</v>
      </c>
      <c r="G9" s="317">
        <f>F9*1.119</f>
        <v>200.74071612784655</v>
      </c>
      <c r="H9" s="265">
        <f>(G9*$H$8)+G9</f>
        <v>221.2162691728869</v>
      </c>
      <c r="I9" s="265">
        <v>248.2046540119791</v>
      </c>
      <c r="J9" s="431" t="s">
        <v>1387</v>
      </c>
      <c r="K9" s="152"/>
      <c r="L9" s="265"/>
      <c r="M9" s="265"/>
    </row>
    <row r="10" spans="1:13" ht="13.5">
      <c r="A10" s="58" t="s">
        <v>695</v>
      </c>
      <c r="B10" s="63">
        <v>0.017648486900000003</v>
      </c>
      <c r="C10" s="62">
        <f>B10*1.1</f>
        <v>0.019413335590000004</v>
      </c>
      <c r="D10" s="62">
        <f>SUM(C10-B10)/B10</f>
        <v>0.10000000000000003</v>
      </c>
      <c r="E10" s="23">
        <v>0.022664681034613207</v>
      </c>
      <c r="F10" s="23">
        <f>E10*1.12</f>
        <v>0.025384442758766796</v>
      </c>
      <c r="G10" s="317">
        <f>F10*1.119</f>
        <v>0.028405191447060045</v>
      </c>
      <c r="H10" s="353">
        <f>(G10*$H$8)+G10</f>
        <v>0.03130252097466017</v>
      </c>
      <c r="I10" s="353">
        <v>0.03512142853356871</v>
      </c>
      <c r="J10" s="741" t="s">
        <v>1387</v>
      </c>
      <c r="K10" s="152"/>
      <c r="L10" s="353"/>
      <c r="M10" s="353"/>
    </row>
    <row r="11" spans="1:13" s="438" customFormat="1" ht="13.5">
      <c r="A11" s="527" t="s">
        <v>1390</v>
      </c>
      <c r="B11" s="740"/>
      <c r="C11" s="437"/>
      <c r="D11" s="437"/>
      <c r="E11" s="521"/>
      <c r="F11" s="521"/>
      <c r="G11" s="430"/>
      <c r="H11" s="741"/>
      <c r="I11" s="741"/>
      <c r="J11" s="845"/>
      <c r="K11" s="742"/>
      <c r="L11" s="845">
        <f aca="true" t="shared" si="0" ref="L11:L19">(J11*$L$8)+J11</f>
        <v>0</v>
      </c>
      <c r="M11" s="845">
        <f aca="true" t="shared" si="1" ref="M11:M19">(L11*$M$8)+L11</f>
        <v>0</v>
      </c>
    </row>
    <row r="12" spans="1:13" s="438" customFormat="1" ht="13.5">
      <c r="A12" s="527" t="s">
        <v>1282</v>
      </c>
      <c r="B12" s="740"/>
      <c r="C12" s="437"/>
      <c r="D12" s="437"/>
      <c r="E12" s="521"/>
      <c r="F12" s="521"/>
      <c r="G12" s="430"/>
      <c r="H12" s="741"/>
      <c r="I12" s="741"/>
      <c r="J12" s="431">
        <v>13.2615</v>
      </c>
      <c r="K12" s="851" t="s">
        <v>1160</v>
      </c>
      <c r="L12" s="845">
        <f t="shared" si="0"/>
        <v>14.3091585</v>
      </c>
      <c r="M12" s="845">
        <f t="shared" si="1"/>
        <v>15.439582021500001</v>
      </c>
    </row>
    <row r="13" spans="1:13" s="438" customFormat="1" ht="13.5">
      <c r="A13" s="527" t="s">
        <v>1391</v>
      </c>
      <c r="B13" s="740"/>
      <c r="C13" s="437"/>
      <c r="D13" s="437"/>
      <c r="E13" s="521"/>
      <c r="F13" s="521"/>
      <c r="G13" s="430"/>
      <c r="H13" s="741"/>
      <c r="I13" s="741"/>
      <c r="J13" s="431">
        <v>37.89</v>
      </c>
      <c r="K13" s="851" t="s">
        <v>1160</v>
      </c>
      <c r="L13" s="845">
        <f t="shared" si="0"/>
        <v>40.88331</v>
      </c>
      <c r="M13" s="845">
        <f t="shared" si="1"/>
        <v>44.11309149</v>
      </c>
    </row>
    <row r="14" spans="1:13" s="438" customFormat="1" ht="13.5">
      <c r="A14" s="527" t="s">
        <v>1392</v>
      </c>
      <c r="B14" s="740"/>
      <c r="C14" s="437"/>
      <c r="D14" s="437"/>
      <c r="E14" s="521"/>
      <c r="F14" s="521"/>
      <c r="G14" s="430"/>
      <c r="H14" s="741"/>
      <c r="I14" s="741"/>
      <c r="J14" s="431">
        <v>53.046</v>
      </c>
      <c r="K14" s="851" t="s">
        <v>1160</v>
      </c>
      <c r="L14" s="845">
        <f t="shared" si="0"/>
        <v>57.236634</v>
      </c>
      <c r="M14" s="845">
        <f t="shared" si="1"/>
        <v>61.758328086000006</v>
      </c>
    </row>
    <row r="15" spans="1:13" s="438" customFormat="1" ht="13.5">
      <c r="A15" s="527" t="s">
        <v>1393</v>
      </c>
      <c r="B15" s="740"/>
      <c r="C15" s="437"/>
      <c r="D15" s="437"/>
      <c r="E15" s="521"/>
      <c r="F15" s="521"/>
      <c r="G15" s="430"/>
      <c r="H15" s="741"/>
      <c r="I15" s="741"/>
      <c r="J15" s="431">
        <v>54</v>
      </c>
      <c r="K15" s="851" t="s">
        <v>1160</v>
      </c>
      <c r="L15" s="845">
        <f t="shared" si="0"/>
        <v>58.266</v>
      </c>
      <c r="M15" s="845">
        <f t="shared" si="1"/>
        <v>62.869014</v>
      </c>
    </row>
    <row r="16" spans="1:13" s="438" customFormat="1" ht="13.5">
      <c r="A16" s="527"/>
      <c r="B16" s="740"/>
      <c r="C16" s="437"/>
      <c r="D16" s="437"/>
      <c r="E16" s="521"/>
      <c r="F16" s="521"/>
      <c r="G16" s="430"/>
      <c r="H16" s="741"/>
      <c r="I16" s="741"/>
      <c r="J16" s="845"/>
      <c r="K16" s="742"/>
      <c r="L16" s="845"/>
      <c r="M16" s="845"/>
    </row>
    <row r="17" spans="1:13" s="438" customFormat="1" ht="13.5">
      <c r="A17" s="527" t="s">
        <v>1394</v>
      </c>
      <c r="B17" s="740"/>
      <c r="C17" s="437"/>
      <c r="D17" s="437"/>
      <c r="E17" s="521"/>
      <c r="F17" s="521"/>
      <c r="G17" s="430"/>
      <c r="H17" s="741"/>
      <c r="I17" s="741"/>
      <c r="J17" s="431">
        <v>248</v>
      </c>
      <c r="K17" s="852" t="s">
        <v>1160</v>
      </c>
      <c r="L17" s="845">
        <f t="shared" si="0"/>
        <v>267.592</v>
      </c>
      <c r="M17" s="845">
        <f t="shared" si="1"/>
        <v>288.731768</v>
      </c>
    </row>
    <row r="18" spans="1:13" s="438" customFormat="1" ht="13.5">
      <c r="A18" s="527"/>
      <c r="B18" s="740"/>
      <c r="C18" s="437"/>
      <c r="D18" s="437"/>
      <c r="E18" s="521"/>
      <c r="F18" s="521"/>
      <c r="G18" s="430"/>
      <c r="H18" s="741"/>
      <c r="I18" s="741"/>
      <c r="J18" s="431"/>
      <c r="K18" s="852"/>
      <c r="L18" s="845"/>
      <c r="M18" s="845"/>
    </row>
    <row r="19" spans="1:13" s="438" customFormat="1" ht="27" customHeight="1">
      <c r="A19" s="527" t="s">
        <v>1395</v>
      </c>
      <c r="B19" s="740"/>
      <c r="C19" s="437"/>
      <c r="D19" s="437"/>
      <c r="E19" s="521"/>
      <c r="F19" s="521"/>
      <c r="G19" s="430"/>
      <c r="H19" s="741"/>
      <c r="I19" s="741"/>
      <c r="J19" s="431">
        <v>8.9413290076181</v>
      </c>
      <c r="K19" s="852" t="s">
        <v>1160</v>
      </c>
      <c r="L19" s="845">
        <f t="shared" si="0"/>
        <v>9.64769399921993</v>
      </c>
      <c r="M19" s="845">
        <f t="shared" si="1"/>
        <v>10.409861825158305</v>
      </c>
    </row>
    <row r="20" spans="1:11" ht="94.5" hidden="1">
      <c r="A20" s="58" t="s">
        <v>1029</v>
      </c>
      <c r="B20" s="61">
        <v>62.373740000000005</v>
      </c>
      <c r="C20" s="62">
        <f>B20*1.1</f>
        <v>68.61111400000001</v>
      </c>
      <c r="D20" s="62">
        <f>SUM(C20-B20)/B20</f>
        <v>0.10000000000000014</v>
      </c>
      <c r="E20" s="23">
        <v>80.10210337272002</v>
      </c>
      <c r="F20" s="23">
        <f>E20*1.12</f>
        <v>89.71435577744643</v>
      </c>
      <c r="G20" s="317">
        <v>197.33</v>
      </c>
      <c r="H20" s="265">
        <v>221</v>
      </c>
      <c r="I20" s="273" t="s">
        <v>1187</v>
      </c>
      <c r="J20" s="273" t="s">
        <v>1187</v>
      </c>
      <c r="K20" s="730"/>
    </row>
    <row r="21" spans="1:13" ht="30" customHeight="1">
      <c r="A21" s="527" t="s">
        <v>1396</v>
      </c>
      <c r="B21" s="61">
        <v>4.1640500000000005</v>
      </c>
      <c r="C21" s="61">
        <f>B21*1.1</f>
        <v>4.580455000000001</v>
      </c>
      <c r="D21" s="59">
        <f>SUM(C21-B21)/B21</f>
        <v>0.10000000000000002</v>
      </c>
      <c r="E21" s="23">
        <v>5.347589603400001</v>
      </c>
      <c r="F21" s="23">
        <f>E21*1.12</f>
        <v>5.989300355808002</v>
      </c>
      <c r="G21" s="317">
        <f>F21*1.119</f>
        <v>6.702027098149154</v>
      </c>
      <c r="H21" s="265">
        <f>(G21*$H$8)+G21</f>
        <v>7.385633862160367</v>
      </c>
      <c r="I21" s="265">
        <v>8.286681193343933</v>
      </c>
      <c r="J21" s="431">
        <v>5</v>
      </c>
      <c r="K21" s="852">
        <f>(J21-I21)/I21</f>
        <v>-0.39662213576936883</v>
      </c>
      <c r="L21" s="265">
        <f>(J21*$L$8)+J21</f>
        <v>5.395</v>
      </c>
      <c r="M21" s="265">
        <f>(L21*$M$8)+L21</f>
        <v>5.821204999999999</v>
      </c>
    </row>
    <row r="22" spans="1:13" ht="13.5">
      <c r="A22" s="108" t="s">
        <v>824</v>
      </c>
      <c r="B22" s="61"/>
      <c r="C22" s="62">
        <v>2.76718175</v>
      </c>
      <c r="D22" s="62"/>
      <c r="E22" s="23">
        <v>3.23062934949</v>
      </c>
      <c r="F22" s="23">
        <f>E22*1.12</f>
        <v>3.6183048714288004</v>
      </c>
      <c r="G22" s="317">
        <f>F22*1.119</f>
        <v>4.048883151128828</v>
      </c>
      <c r="H22" s="265">
        <f>(G22*$H$8)+G22</f>
        <v>4.461869232543968</v>
      </c>
      <c r="I22" s="265">
        <v>5.006217278914332</v>
      </c>
      <c r="J22" s="265">
        <f>(I22*K22)+I22</f>
        <v>5.401708443948564</v>
      </c>
      <c r="K22" s="152">
        <f aca="true" t="shared" si="2" ref="K22:K49">$K$8</f>
        <v>0.079</v>
      </c>
      <c r="L22" s="265">
        <f>(J22*$L$8)+J22</f>
        <v>5.828443411020501</v>
      </c>
      <c r="M22" s="265">
        <f>(L22*$M$8)+L22</f>
        <v>6.288890440491121</v>
      </c>
    </row>
    <row r="23" spans="1:11" ht="14.25" customHeight="1">
      <c r="A23" s="52"/>
      <c r="B23" s="61"/>
      <c r="C23" s="107"/>
      <c r="D23" s="62"/>
      <c r="E23" s="107"/>
      <c r="F23" s="107"/>
      <c r="G23" s="317"/>
      <c r="H23" s="265"/>
      <c r="I23" s="265"/>
      <c r="J23" s="265"/>
      <c r="K23" s="152"/>
    </row>
    <row r="24" spans="1:11" s="14" customFormat="1" ht="14.25" customHeight="1">
      <c r="A24" s="52" t="s">
        <v>1092</v>
      </c>
      <c r="B24" s="755"/>
      <c r="C24" s="107"/>
      <c r="D24" s="107"/>
      <c r="E24" s="107"/>
      <c r="F24" s="107"/>
      <c r="G24" s="764"/>
      <c r="H24" s="342"/>
      <c r="I24" s="342"/>
      <c r="J24" s="342"/>
      <c r="K24" s="846"/>
    </row>
    <row r="25" spans="1:13" ht="13.5">
      <c r="A25" s="972" t="s">
        <v>1093</v>
      </c>
      <c r="B25" s="972"/>
      <c r="C25" s="972"/>
      <c r="D25" s="972"/>
      <c r="E25" s="972"/>
      <c r="F25" s="766" t="e">
        <f>#REF!</f>
        <v>#REF!</v>
      </c>
      <c r="G25" s="767" t="e">
        <f>G22*F25/100</f>
        <v>#REF!</v>
      </c>
      <c r="H25" s="62">
        <v>7.5200000000000005</v>
      </c>
      <c r="I25" s="62">
        <v>7.5200000000000005</v>
      </c>
      <c r="J25" s="843">
        <f aca="true" t="shared" si="3" ref="J25:J34">(I25*K25)+I25</f>
        <v>8.114080000000001</v>
      </c>
      <c r="K25" s="847">
        <f t="shared" si="2"/>
        <v>0.079</v>
      </c>
      <c r="L25" s="844">
        <f aca="true" t="shared" si="4" ref="L25:L34">(J25*$L$8)+J25</f>
        <v>8.755092320000001</v>
      </c>
      <c r="M25" s="844">
        <f aca="true" t="shared" si="5" ref="M25:M34">(L25*$M$8)+L25</f>
        <v>9.446744613280002</v>
      </c>
    </row>
    <row r="26" spans="1:13" ht="13.5">
      <c r="A26" s="972" t="s">
        <v>1094</v>
      </c>
      <c r="B26" s="972"/>
      <c r="C26" s="972"/>
      <c r="D26" s="972"/>
      <c r="E26" s="972"/>
      <c r="F26" s="766" t="e">
        <f>#REF!</f>
        <v>#REF!</v>
      </c>
      <c r="G26" s="767" t="e">
        <f>G22*F26/100</f>
        <v>#REF!</v>
      </c>
      <c r="H26" s="62">
        <v>7.99</v>
      </c>
      <c r="I26" s="62">
        <v>7.99</v>
      </c>
      <c r="J26" s="843">
        <f t="shared" si="3"/>
        <v>8.62121</v>
      </c>
      <c r="K26" s="847">
        <f t="shared" si="2"/>
        <v>0.079</v>
      </c>
      <c r="L26" s="844">
        <f t="shared" si="4"/>
        <v>9.30228559</v>
      </c>
      <c r="M26" s="844">
        <f t="shared" si="5"/>
        <v>10.03716615161</v>
      </c>
    </row>
    <row r="27" spans="1:13" ht="13.5">
      <c r="A27" s="972" t="s">
        <v>1095</v>
      </c>
      <c r="B27" s="972"/>
      <c r="C27" s="972"/>
      <c r="D27" s="972"/>
      <c r="E27" s="972"/>
      <c r="F27" s="766" t="e">
        <f>#REF!</f>
        <v>#REF!</v>
      </c>
      <c r="G27" s="767" t="e">
        <f>G22*F27/100</f>
        <v>#REF!</v>
      </c>
      <c r="H27" s="62">
        <v>8.46</v>
      </c>
      <c r="I27" s="62">
        <v>8.46</v>
      </c>
      <c r="J27" s="843">
        <f t="shared" si="3"/>
        <v>9.128340000000001</v>
      </c>
      <c r="K27" s="847">
        <f t="shared" si="2"/>
        <v>0.079</v>
      </c>
      <c r="L27" s="844">
        <f t="shared" si="4"/>
        <v>9.849478860000001</v>
      </c>
      <c r="M27" s="844">
        <f t="shared" si="5"/>
        <v>10.627587689940002</v>
      </c>
    </row>
    <row r="28" spans="1:13" ht="13.5">
      <c r="A28" s="972" t="s">
        <v>1096</v>
      </c>
      <c r="B28" s="972"/>
      <c r="C28" s="972"/>
      <c r="D28" s="972"/>
      <c r="E28" s="972"/>
      <c r="F28" s="766" t="e">
        <f>#REF!</f>
        <v>#REF!</v>
      </c>
      <c r="G28" s="767" t="e">
        <f>G22*F28/100</f>
        <v>#REF!</v>
      </c>
      <c r="H28" s="62">
        <v>8.93</v>
      </c>
      <c r="I28" s="62">
        <v>8.93</v>
      </c>
      <c r="J28" s="843">
        <f t="shared" si="3"/>
        <v>9.63547</v>
      </c>
      <c r="K28" s="847">
        <f t="shared" si="2"/>
        <v>0.079</v>
      </c>
      <c r="L28" s="844">
        <f t="shared" si="4"/>
        <v>10.396672129999999</v>
      </c>
      <c r="M28" s="844">
        <f t="shared" si="5"/>
        <v>11.218009228269999</v>
      </c>
    </row>
    <row r="29" spans="1:13" ht="13.5">
      <c r="A29" s="972" t="s">
        <v>1097</v>
      </c>
      <c r="B29" s="972"/>
      <c r="C29" s="972"/>
      <c r="D29" s="972"/>
      <c r="E29" s="972"/>
      <c r="F29" s="766" t="e">
        <f>#REF!</f>
        <v>#REF!</v>
      </c>
      <c r="G29" s="767" t="e">
        <f>G22*F29/100</f>
        <v>#REF!</v>
      </c>
      <c r="H29" s="62">
        <v>9.212</v>
      </c>
      <c r="I29" s="62">
        <v>9.212</v>
      </c>
      <c r="J29" s="843">
        <f t="shared" si="3"/>
        <v>9.939748</v>
      </c>
      <c r="K29" s="847">
        <f t="shared" si="2"/>
        <v>0.079</v>
      </c>
      <c r="L29" s="844">
        <f t="shared" si="4"/>
        <v>10.724988092</v>
      </c>
      <c r="M29" s="844">
        <f t="shared" si="5"/>
        <v>11.572262151268001</v>
      </c>
    </row>
    <row r="30" spans="1:13" ht="13.5">
      <c r="A30" s="972" t="s">
        <v>1098</v>
      </c>
      <c r="B30" s="972"/>
      <c r="C30" s="972"/>
      <c r="D30" s="972"/>
      <c r="E30" s="972"/>
      <c r="F30" s="766" t="e">
        <f>#REF!</f>
        <v>#REF!</v>
      </c>
      <c r="G30" s="767" t="e">
        <f>G22*F30/100</f>
        <v>#REF!</v>
      </c>
      <c r="H30" s="62">
        <v>9.212</v>
      </c>
      <c r="I30" s="62">
        <v>9.212</v>
      </c>
      <c r="J30" s="843">
        <f t="shared" si="3"/>
        <v>9.939748</v>
      </c>
      <c r="K30" s="847">
        <f t="shared" si="2"/>
        <v>0.079</v>
      </c>
      <c r="L30" s="844">
        <f t="shared" si="4"/>
        <v>10.724988092</v>
      </c>
      <c r="M30" s="843">
        <f t="shared" si="5"/>
        <v>11.572262151268001</v>
      </c>
    </row>
    <row r="31" spans="1:13" ht="13.5">
      <c r="A31" s="972" t="s">
        <v>1099</v>
      </c>
      <c r="B31" s="972"/>
      <c r="C31" s="972"/>
      <c r="D31" s="972"/>
      <c r="E31" s="972"/>
      <c r="F31" s="766" t="e">
        <f>#REF!</f>
        <v>#REF!</v>
      </c>
      <c r="G31" s="767" t="e">
        <f>G22*F31/100</f>
        <v>#REF!</v>
      </c>
      <c r="H31" s="62">
        <v>9.212</v>
      </c>
      <c r="I31" s="62">
        <v>9.212</v>
      </c>
      <c r="J31" s="843">
        <f t="shared" si="3"/>
        <v>9.939748</v>
      </c>
      <c r="K31" s="847">
        <f t="shared" si="2"/>
        <v>0.079</v>
      </c>
      <c r="L31" s="844">
        <f t="shared" si="4"/>
        <v>10.724988092</v>
      </c>
      <c r="M31" s="844">
        <f t="shared" si="5"/>
        <v>11.572262151268001</v>
      </c>
    </row>
    <row r="32" spans="1:13" ht="13.5">
      <c r="A32" s="973" t="s">
        <v>1100</v>
      </c>
      <c r="B32" s="973"/>
      <c r="C32" s="973"/>
      <c r="D32" s="973"/>
      <c r="E32" s="973"/>
      <c r="F32" s="766" t="e">
        <f>#REF!</f>
        <v>#REF!</v>
      </c>
      <c r="G32" s="767" t="e">
        <f>G22*F32/100</f>
        <v>#REF!</v>
      </c>
      <c r="H32" s="62">
        <v>8.742</v>
      </c>
      <c r="I32" s="62">
        <v>8.742</v>
      </c>
      <c r="J32" s="843">
        <f t="shared" si="3"/>
        <v>9.432618000000002</v>
      </c>
      <c r="K32" s="847">
        <f t="shared" si="2"/>
        <v>0.079</v>
      </c>
      <c r="L32" s="844">
        <f t="shared" si="4"/>
        <v>10.177794822000001</v>
      </c>
      <c r="M32" s="844">
        <f t="shared" si="5"/>
        <v>10.981840612938</v>
      </c>
    </row>
    <row r="33" spans="1:13" ht="13.5">
      <c r="A33" s="973" t="s">
        <v>1101</v>
      </c>
      <c r="B33" s="973"/>
      <c r="C33" s="973"/>
      <c r="D33" s="973"/>
      <c r="E33" s="973"/>
      <c r="F33" s="766" t="e">
        <f>#REF!</f>
        <v>#REF!</v>
      </c>
      <c r="G33" s="767" t="e">
        <f>G22*F33/100</f>
        <v>#REF!</v>
      </c>
      <c r="H33" s="62">
        <v>8.742</v>
      </c>
      <c r="I33" s="62">
        <v>8.742</v>
      </c>
      <c r="J33" s="843">
        <f t="shared" si="3"/>
        <v>9.432618000000002</v>
      </c>
      <c r="K33" s="847">
        <f t="shared" si="2"/>
        <v>0.079</v>
      </c>
      <c r="L33" s="844">
        <f t="shared" si="4"/>
        <v>10.177794822000001</v>
      </c>
      <c r="M33" s="844">
        <f t="shared" si="5"/>
        <v>10.981840612938</v>
      </c>
    </row>
    <row r="34" spans="1:13" ht="13.5">
      <c r="A34" s="973" t="s">
        <v>1102</v>
      </c>
      <c r="B34" s="973"/>
      <c r="C34" s="973"/>
      <c r="D34" s="973"/>
      <c r="E34" s="973"/>
      <c r="F34" s="766" t="e">
        <f>#REF!</f>
        <v>#REF!</v>
      </c>
      <c r="G34" s="767" t="e">
        <f>G22*F34/100</f>
        <v>#REF!</v>
      </c>
      <c r="H34" s="62">
        <v>8.37</v>
      </c>
      <c r="I34" s="62">
        <v>9.39</v>
      </c>
      <c r="J34" s="843">
        <f t="shared" si="3"/>
        <v>10.131810000000002</v>
      </c>
      <c r="K34" s="847">
        <f t="shared" si="2"/>
        <v>0.079</v>
      </c>
      <c r="L34" s="844">
        <f t="shared" si="4"/>
        <v>10.932222990000001</v>
      </c>
      <c r="M34" s="844">
        <f t="shared" si="5"/>
        <v>11.795868606210002</v>
      </c>
    </row>
    <row r="35" spans="1:11" s="14" customFormat="1" ht="27">
      <c r="A35" s="52" t="s">
        <v>1103</v>
      </c>
      <c r="B35" s="755"/>
      <c r="C35" s="107"/>
      <c r="D35" s="107"/>
      <c r="E35" s="107"/>
      <c r="F35" s="107"/>
      <c r="G35" s="600"/>
      <c r="H35" s="601"/>
      <c r="I35" s="601"/>
      <c r="J35" s="601"/>
      <c r="K35" s="765"/>
    </row>
    <row r="36" spans="1:11" s="438" customFormat="1" ht="47.25" customHeight="1">
      <c r="A36" s="537" t="s">
        <v>1225</v>
      </c>
      <c r="B36" s="436"/>
      <c r="C36" s="437"/>
      <c r="D36" s="437"/>
      <c r="E36" s="437"/>
      <c r="F36" s="437"/>
      <c r="G36" s="439"/>
      <c r="H36" s="440"/>
      <c r="I36" s="440"/>
      <c r="J36" s="440"/>
      <c r="K36" s="731"/>
    </row>
    <row r="37" spans="1:11" s="438" customFormat="1" ht="13.5">
      <c r="A37" s="435"/>
      <c r="B37" s="436"/>
      <c r="C37" s="437"/>
      <c r="D37" s="437"/>
      <c r="E37" s="437"/>
      <c r="F37" s="437"/>
      <c r="G37" s="439"/>
      <c r="H37" s="440"/>
      <c r="I37" s="440"/>
      <c r="J37" s="440"/>
      <c r="K37" s="731"/>
    </row>
    <row r="38" spans="1:11" ht="13.5">
      <c r="A38" s="52" t="s">
        <v>696</v>
      </c>
      <c r="B38" s="61"/>
      <c r="C38" s="61"/>
      <c r="D38" s="59"/>
      <c r="G38" s="317"/>
      <c r="H38" s="265"/>
      <c r="I38" s="265"/>
      <c r="J38" s="265"/>
      <c r="K38" s="730"/>
    </row>
    <row r="39" spans="1:11" ht="13.5">
      <c r="A39" s="52"/>
      <c r="B39" s="61"/>
      <c r="C39" s="61"/>
      <c r="D39" s="59"/>
      <c r="G39" s="317"/>
      <c r="H39" s="265"/>
      <c r="I39" s="265"/>
      <c r="J39" s="265"/>
      <c r="K39" s="730"/>
    </row>
    <row r="40" spans="1:11" ht="13.5">
      <c r="A40" s="974" t="s">
        <v>697</v>
      </c>
      <c r="B40" s="61"/>
      <c r="C40" s="61"/>
      <c r="D40" s="59"/>
      <c r="G40" s="317"/>
      <c r="H40" s="265"/>
      <c r="I40" s="265"/>
      <c r="J40" s="265"/>
      <c r="K40" s="730"/>
    </row>
    <row r="41" spans="1:11" ht="13.5">
      <c r="A41" s="974"/>
      <c r="B41" s="61"/>
      <c r="C41" s="61"/>
      <c r="D41" s="59"/>
      <c r="G41" s="317"/>
      <c r="H41" s="265"/>
      <c r="I41" s="265"/>
      <c r="J41" s="265"/>
      <c r="K41" s="730"/>
    </row>
    <row r="42" spans="1:13" ht="13.5">
      <c r="A42" s="58" t="s">
        <v>698</v>
      </c>
      <c r="B42" s="61">
        <v>49.782149999999994</v>
      </c>
      <c r="C42" s="61">
        <f>B42*1.1</f>
        <v>54.760365</v>
      </c>
      <c r="D42" s="59">
        <f>SUM(C42-B42)/B42</f>
        <v>0.10000000000000013</v>
      </c>
      <c r="E42" s="23">
        <v>63.9316309302</v>
      </c>
      <c r="F42" s="23">
        <f>E42*1.12</f>
        <v>71.603426641824</v>
      </c>
      <c r="G42" s="317">
        <f>F42*1.119</f>
        <v>80.12423441220106</v>
      </c>
      <c r="H42" s="265">
        <f>(G42*$H$8)+G42</f>
        <v>88.29690632224558</v>
      </c>
      <c r="I42" s="265">
        <v>99.06912889355954</v>
      </c>
      <c r="J42" s="265">
        <f aca="true" t="shared" si="6" ref="J42:J105">(I42*K42)+I42</f>
        <v>106.89559007615074</v>
      </c>
      <c r="K42" s="152">
        <f t="shared" si="2"/>
        <v>0.079</v>
      </c>
      <c r="L42" s="265">
        <f>(J42*$L$8)+J42</f>
        <v>115.34034169216665</v>
      </c>
      <c r="M42" s="265">
        <f>(L42*$M$8)+L42</f>
        <v>124.45222868584781</v>
      </c>
    </row>
    <row r="43" spans="1:13" ht="13.5">
      <c r="A43" s="58" t="s">
        <v>699</v>
      </c>
      <c r="B43" s="61">
        <v>248.88589</v>
      </c>
      <c r="C43" s="61">
        <f>B43*1.1</f>
        <v>273.774479</v>
      </c>
      <c r="D43" s="59">
        <f>SUM(C43-B43)/B43</f>
        <v>0.09999999999999999</v>
      </c>
      <c r="E43" s="23">
        <v>319.62622874292</v>
      </c>
      <c r="F43" s="23">
        <f>E43*1.12</f>
        <v>357.9813761920704</v>
      </c>
      <c r="G43" s="317">
        <f>F43*1.119</f>
        <v>400.5811599589268</v>
      </c>
      <c r="H43" s="265">
        <f>(G43*$H$8)+G43</f>
        <v>441.4404382747373</v>
      </c>
      <c r="I43" s="265">
        <v>495.2961717442552</v>
      </c>
      <c r="J43" s="265">
        <f t="shared" si="6"/>
        <v>534.4245693120514</v>
      </c>
      <c r="K43" s="152">
        <f t="shared" si="2"/>
        <v>0.079</v>
      </c>
      <c r="L43" s="265">
        <f>(J43*$L$8)+J43</f>
        <v>576.6441102877035</v>
      </c>
      <c r="M43" s="265">
        <f>(L43*$M$8)+L43</f>
        <v>622.1989950004321</v>
      </c>
    </row>
    <row r="44" spans="1:13" ht="13.5">
      <c r="A44" s="58"/>
      <c r="B44" s="61"/>
      <c r="C44" s="61"/>
      <c r="D44" s="59"/>
      <c r="E44" s="61"/>
      <c r="F44" s="61"/>
      <c r="G44" s="317"/>
      <c r="H44" s="265"/>
      <c r="I44" s="265"/>
      <c r="J44" s="265"/>
      <c r="K44" s="152"/>
      <c r="L44" s="265"/>
      <c r="M44" s="265"/>
    </row>
    <row r="45" spans="1:13" ht="13.5">
      <c r="A45" s="56" t="s">
        <v>700</v>
      </c>
      <c r="B45" s="61"/>
      <c r="C45" s="61"/>
      <c r="D45" s="59"/>
      <c r="E45" s="61"/>
      <c r="F45" s="61"/>
      <c r="G45" s="317"/>
      <c r="H45" s="265"/>
      <c r="I45" s="265"/>
      <c r="J45" s="265"/>
      <c r="K45" s="152"/>
      <c r="L45" s="265"/>
      <c r="M45" s="265"/>
    </row>
    <row r="46" spans="1:13" ht="13.5">
      <c r="A46" s="58" t="s">
        <v>701</v>
      </c>
      <c r="B46" s="61">
        <v>59.72615</v>
      </c>
      <c r="C46" s="61">
        <f>B46*1.1</f>
        <v>65.69876500000001</v>
      </c>
      <c r="D46" s="59">
        <f aca="true" t="shared" si="7" ref="D46:D53">SUM(C46-B46)/B46</f>
        <v>0.1000000000000002</v>
      </c>
      <c r="E46" s="23">
        <v>76.70199416220002</v>
      </c>
      <c r="F46" s="23">
        <f aca="true" t="shared" si="8" ref="F46:F53">E46*1.12</f>
        <v>85.90623346166403</v>
      </c>
      <c r="G46" s="317">
        <f>F46*1.119</f>
        <v>96.12907524360205</v>
      </c>
      <c r="H46" s="265">
        <f aca="true" t="shared" si="9" ref="H46:H53">(G46*$H$8)+G46</f>
        <v>105.93424091844946</v>
      </c>
      <c r="I46" s="265">
        <v>118.85821831050029</v>
      </c>
      <c r="J46" s="265">
        <f t="shared" si="6"/>
        <v>128.2480175570298</v>
      </c>
      <c r="K46" s="152">
        <f t="shared" si="2"/>
        <v>0.079</v>
      </c>
      <c r="L46" s="265">
        <f aca="true" t="shared" si="10" ref="L46:L53">(J46*$L$8)+J46</f>
        <v>138.37961094403516</v>
      </c>
      <c r="M46" s="265">
        <f aca="true" t="shared" si="11" ref="M46:M53">(L46*$M$8)+L46</f>
        <v>149.31160020861395</v>
      </c>
    </row>
    <row r="47" spans="1:13" ht="13.5">
      <c r="A47" s="58" t="s">
        <v>699</v>
      </c>
      <c r="B47" s="61">
        <v>298.65561</v>
      </c>
      <c r="C47" s="61">
        <f aca="true" t="shared" si="12" ref="C47:C53">B47*1.1</f>
        <v>328.52117100000004</v>
      </c>
      <c r="D47" s="59">
        <f t="shared" si="7"/>
        <v>0.10000000000000003</v>
      </c>
      <c r="E47" s="23">
        <v>383.54189671908006</v>
      </c>
      <c r="F47" s="23">
        <f t="shared" si="8"/>
        <v>429.5669243253697</v>
      </c>
      <c r="G47" s="317">
        <f aca="true" t="shared" si="13" ref="G47:G53">F47*1.119</f>
        <v>480.6853883200887</v>
      </c>
      <c r="H47" s="265">
        <f t="shared" si="9"/>
        <v>529.7152979287378</v>
      </c>
      <c r="I47" s="265">
        <v>594.3405642760438</v>
      </c>
      <c r="J47" s="265">
        <f t="shared" si="6"/>
        <v>641.2934688538512</v>
      </c>
      <c r="K47" s="152">
        <f t="shared" si="2"/>
        <v>0.079</v>
      </c>
      <c r="L47" s="265">
        <f t="shared" si="10"/>
        <v>691.9556528933055</v>
      </c>
      <c r="M47" s="265">
        <f t="shared" si="11"/>
        <v>746.6201494718766</v>
      </c>
    </row>
    <row r="48" spans="1:13" ht="13.5">
      <c r="A48" s="58" t="s">
        <v>702</v>
      </c>
      <c r="B48" s="61">
        <v>91.26106000000001</v>
      </c>
      <c r="C48" s="61">
        <f t="shared" si="12"/>
        <v>100.38716600000002</v>
      </c>
      <c r="D48" s="59">
        <f t="shared" si="7"/>
        <v>0.10000000000000006</v>
      </c>
      <c r="E48" s="23">
        <v>117.20000856168004</v>
      </c>
      <c r="F48" s="23">
        <f t="shared" si="8"/>
        <v>131.26400958908167</v>
      </c>
      <c r="G48" s="317">
        <f t="shared" si="13"/>
        <v>146.88442673018238</v>
      </c>
      <c r="H48" s="265">
        <f t="shared" si="9"/>
        <v>161.866638256661</v>
      </c>
      <c r="I48" s="265">
        <v>181.61436812397363</v>
      </c>
      <c r="J48" s="265">
        <f t="shared" si="6"/>
        <v>195.96190320576756</v>
      </c>
      <c r="K48" s="152">
        <f t="shared" si="2"/>
        <v>0.079</v>
      </c>
      <c r="L48" s="265">
        <f t="shared" si="10"/>
        <v>211.4428935590232</v>
      </c>
      <c r="M48" s="265">
        <f t="shared" si="11"/>
        <v>228.14688215018603</v>
      </c>
    </row>
    <row r="49" spans="1:13" ht="13.5">
      <c r="A49" s="58" t="s">
        <v>699</v>
      </c>
      <c r="B49" s="61">
        <v>497.75935</v>
      </c>
      <c r="C49" s="61">
        <f t="shared" si="12"/>
        <v>547.535285</v>
      </c>
      <c r="D49" s="59">
        <f t="shared" si="7"/>
        <v>0.10000000000000013</v>
      </c>
      <c r="E49" s="23">
        <v>639.2364945318001</v>
      </c>
      <c r="F49" s="23">
        <f t="shared" si="8"/>
        <v>715.9448738756162</v>
      </c>
      <c r="G49" s="317">
        <f t="shared" si="13"/>
        <v>801.1423138668144</v>
      </c>
      <c r="H49" s="265">
        <f t="shared" si="9"/>
        <v>882.8588298812296</v>
      </c>
      <c r="I49" s="265">
        <v>990.5676071267395</v>
      </c>
      <c r="J49" s="265">
        <f t="shared" si="6"/>
        <v>1068.822448089752</v>
      </c>
      <c r="K49" s="152">
        <f t="shared" si="2"/>
        <v>0.079</v>
      </c>
      <c r="L49" s="265">
        <f t="shared" si="10"/>
        <v>1153.2594214888425</v>
      </c>
      <c r="M49" s="265">
        <f t="shared" si="11"/>
        <v>1244.366915786461</v>
      </c>
    </row>
    <row r="50" spans="1:13" ht="13.5">
      <c r="A50" s="58" t="s">
        <v>703</v>
      </c>
      <c r="B50" s="61">
        <v>49.782149999999994</v>
      </c>
      <c r="C50" s="61">
        <f t="shared" si="12"/>
        <v>54.760365</v>
      </c>
      <c r="D50" s="59">
        <f t="shared" si="7"/>
        <v>0.10000000000000013</v>
      </c>
      <c r="E50" s="23">
        <v>63.9316309302</v>
      </c>
      <c r="F50" s="23">
        <f t="shared" si="8"/>
        <v>71.603426641824</v>
      </c>
      <c r="G50" s="317">
        <f t="shared" si="13"/>
        <v>80.12423441220106</v>
      </c>
      <c r="H50" s="265">
        <f t="shared" si="9"/>
        <v>88.29690632224558</v>
      </c>
      <c r="I50" s="265">
        <v>99.06912889355954</v>
      </c>
      <c r="J50" s="265">
        <f t="shared" si="6"/>
        <v>106.89559007615074</v>
      </c>
      <c r="K50" s="152">
        <f aca="true" t="shared" si="14" ref="K50:K81">$K$8</f>
        <v>0.079</v>
      </c>
      <c r="L50" s="265">
        <f t="shared" si="10"/>
        <v>115.34034169216665</v>
      </c>
      <c r="M50" s="265">
        <f t="shared" si="11"/>
        <v>124.45222868584781</v>
      </c>
    </row>
    <row r="51" spans="1:13" ht="13.5">
      <c r="A51" s="58" t="s">
        <v>699</v>
      </c>
      <c r="B51" s="61">
        <v>199.10374000000002</v>
      </c>
      <c r="C51" s="61">
        <f t="shared" si="12"/>
        <v>219.01411400000003</v>
      </c>
      <c r="D51" s="59">
        <f t="shared" si="7"/>
        <v>0.10000000000000009</v>
      </c>
      <c r="E51" s="23">
        <v>255.69459781272005</v>
      </c>
      <c r="F51" s="23">
        <f t="shared" si="8"/>
        <v>286.37794955024646</v>
      </c>
      <c r="G51" s="317">
        <f t="shared" si="13"/>
        <v>320.45692554672576</v>
      </c>
      <c r="H51" s="265">
        <f t="shared" si="9"/>
        <v>353.1435319524918</v>
      </c>
      <c r="I51" s="265">
        <v>396.2270428506958</v>
      </c>
      <c r="J51" s="265">
        <f t="shared" si="6"/>
        <v>427.52897923590075</v>
      </c>
      <c r="K51" s="152">
        <f t="shared" si="14"/>
        <v>0.079</v>
      </c>
      <c r="L51" s="265">
        <f t="shared" si="10"/>
        <v>461.3037685955369</v>
      </c>
      <c r="M51" s="265">
        <f t="shared" si="11"/>
        <v>497.7467663145843</v>
      </c>
    </row>
    <row r="52" spans="1:13" ht="13.5">
      <c r="A52" s="58" t="s">
        <v>704</v>
      </c>
      <c r="B52" s="61">
        <v>49.782149999999994</v>
      </c>
      <c r="C52" s="61">
        <f t="shared" si="12"/>
        <v>54.760365</v>
      </c>
      <c r="D52" s="59">
        <f t="shared" si="7"/>
        <v>0.10000000000000013</v>
      </c>
      <c r="E52" s="23">
        <v>63.9316309302</v>
      </c>
      <c r="F52" s="23">
        <f t="shared" si="8"/>
        <v>71.603426641824</v>
      </c>
      <c r="G52" s="317">
        <f t="shared" si="13"/>
        <v>80.12423441220106</v>
      </c>
      <c r="H52" s="265">
        <f t="shared" si="9"/>
        <v>88.29690632224558</v>
      </c>
      <c r="I52" s="265">
        <v>99.06912889355954</v>
      </c>
      <c r="J52" s="265">
        <f t="shared" si="6"/>
        <v>106.89559007615074</v>
      </c>
      <c r="K52" s="152">
        <f t="shared" si="14"/>
        <v>0.079</v>
      </c>
      <c r="L52" s="265">
        <f t="shared" si="10"/>
        <v>115.34034169216665</v>
      </c>
      <c r="M52" s="265">
        <f t="shared" si="11"/>
        <v>124.45222868584781</v>
      </c>
    </row>
    <row r="53" spans="1:13" ht="13.5">
      <c r="A53" s="58" t="s">
        <v>699</v>
      </c>
      <c r="B53" s="62">
        <v>1659.2061199999998</v>
      </c>
      <c r="C53" s="61">
        <f t="shared" si="12"/>
        <v>1825.126732</v>
      </c>
      <c r="D53" s="59">
        <f t="shared" si="7"/>
        <v>0.10000000000000009</v>
      </c>
      <c r="E53" s="21">
        <v>2130.79895707536</v>
      </c>
      <c r="F53" s="21">
        <f t="shared" si="8"/>
        <v>2386.494831924403</v>
      </c>
      <c r="G53" s="317">
        <f t="shared" si="13"/>
        <v>2670.487716923407</v>
      </c>
      <c r="H53" s="265">
        <f t="shared" si="9"/>
        <v>2942.8774640495944</v>
      </c>
      <c r="I53" s="265">
        <v>3301.908514663645</v>
      </c>
      <c r="J53" s="265">
        <f t="shared" si="6"/>
        <v>3562.759287322073</v>
      </c>
      <c r="K53" s="152">
        <f t="shared" si="14"/>
        <v>0.079</v>
      </c>
      <c r="L53" s="265">
        <f t="shared" si="10"/>
        <v>3844.217271020517</v>
      </c>
      <c r="M53" s="265">
        <f t="shared" si="11"/>
        <v>4147.910435431138</v>
      </c>
    </row>
    <row r="54" spans="1:13" ht="13.5">
      <c r="A54" s="58"/>
      <c r="B54" s="61"/>
      <c r="C54" s="61"/>
      <c r="D54" s="59"/>
      <c r="E54" s="61"/>
      <c r="F54" s="61"/>
      <c r="G54" s="317"/>
      <c r="H54" s="265"/>
      <c r="I54" s="265"/>
      <c r="J54" s="265"/>
      <c r="K54" s="152"/>
      <c r="L54" s="265"/>
      <c r="M54" s="265"/>
    </row>
    <row r="55" spans="2:13" ht="13.5">
      <c r="B55" s="61"/>
      <c r="C55" s="61"/>
      <c r="D55" s="59"/>
      <c r="E55" s="61"/>
      <c r="F55" s="61"/>
      <c r="G55" s="317"/>
      <c r="H55" s="265"/>
      <c r="I55" s="265"/>
      <c r="J55" s="265"/>
      <c r="K55" s="152"/>
      <c r="L55" s="265"/>
      <c r="M55" s="265"/>
    </row>
    <row r="56" spans="1:13" ht="13.5">
      <c r="A56" s="52" t="s">
        <v>705</v>
      </c>
      <c r="B56" s="61"/>
      <c r="C56" s="61"/>
      <c r="D56" s="59"/>
      <c r="E56" s="61"/>
      <c r="F56" s="61"/>
      <c r="G56" s="317"/>
      <c r="H56" s="265"/>
      <c r="I56" s="265"/>
      <c r="J56" s="265"/>
      <c r="K56" s="152"/>
      <c r="L56" s="265"/>
      <c r="M56" s="265"/>
    </row>
    <row r="57" spans="1:13" ht="13.5">
      <c r="A57" s="52"/>
      <c r="B57" s="61"/>
      <c r="C57" s="61"/>
      <c r="D57" s="59"/>
      <c r="E57" s="61"/>
      <c r="F57" s="61"/>
      <c r="G57" s="317"/>
      <c r="H57" s="265"/>
      <c r="I57" s="265"/>
      <c r="J57" s="265"/>
      <c r="K57" s="152"/>
      <c r="L57" s="265"/>
      <c r="M57" s="265"/>
    </row>
    <row r="58" spans="1:13" ht="13.5">
      <c r="A58" s="701" t="s">
        <v>706</v>
      </c>
      <c r="B58" s="61"/>
      <c r="C58" s="61"/>
      <c r="D58" s="59"/>
      <c r="E58" s="61"/>
      <c r="F58" s="61"/>
      <c r="G58" s="317"/>
      <c r="H58" s="265"/>
      <c r="I58" s="265"/>
      <c r="J58" s="265"/>
      <c r="K58" s="152"/>
      <c r="L58" s="265"/>
      <c r="M58" s="265"/>
    </row>
    <row r="59" spans="1:13" ht="13.5">
      <c r="A59" s="702" t="s">
        <v>707</v>
      </c>
      <c r="B59" s="62">
        <v>1760.94567</v>
      </c>
      <c r="C59" s="62">
        <f>B59*1.1</f>
        <v>1937.0402370000002</v>
      </c>
      <c r="D59" s="59">
        <f aca="true" t="shared" si="15" ref="D59:D71">SUM(C59-B59)/B59</f>
        <v>0.10000000000000005</v>
      </c>
      <c r="E59" s="21">
        <v>2261.4557358927605</v>
      </c>
      <c r="F59" s="21">
        <f aca="true" t="shared" si="16" ref="F59:F71">E59*1.12</f>
        <v>2532.830424199892</v>
      </c>
      <c r="G59" s="317">
        <f>F59*1.119</f>
        <v>2834.2372446796794</v>
      </c>
      <c r="H59" s="265">
        <f aca="true" t="shared" si="17" ref="H59:H71">(G59*$H$8)+G59</f>
        <v>3123.3294436370065</v>
      </c>
      <c r="I59" s="265">
        <v>3504.3756357607213</v>
      </c>
      <c r="J59" s="265">
        <f t="shared" si="6"/>
        <v>3781.221310985818</v>
      </c>
      <c r="K59" s="152">
        <f t="shared" si="14"/>
        <v>0.079</v>
      </c>
      <c r="L59" s="265">
        <f aca="true" t="shared" si="18" ref="L59:L71">(J59*$L$8)+J59</f>
        <v>4079.9377945536976</v>
      </c>
      <c r="M59" s="265">
        <f aca="true" t="shared" si="19" ref="M59:M71">(L59*$M$8)+L59</f>
        <v>4402.25288032344</v>
      </c>
    </row>
    <row r="60" spans="1:13" ht="13.5">
      <c r="A60" s="702" t="s">
        <v>708</v>
      </c>
      <c r="B60" s="62">
        <v>1463.5454900000002</v>
      </c>
      <c r="C60" s="62">
        <f aca="true" t="shared" si="20" ref="C60:C71">B60*1.1</f>
        <v>1609.9000390000003</v>
      </c>
      <c r="D60" s="59">
        <f t="shared" si="15"/>
        <v>0.10000000000000007</v>
      </c>
      <c r="E60" s="21">
        <v>1879.5260975317203</v>
      </c>
      <c r="F60" s="21">
        <f t="shared" si="16"/>
        <v>2105.069229235527</v>
      </c>
      <c r="G60" s="317">
        <f aca="true" t="shared" si="21" ref="G60:G71">F60*1.119</f>
        <v>2355.572467514555</v>
      </c>
      <c r="H60" s="265">
        <f t="shared" si="17"/>
        <v>2595.840859201039</v>
      </c>
      <c r="I60" s="265">
        <v>2912.533444023566</v>
      </c>
      <c r="J60" s="265">
        <f t="shared" si="6"/>
        <v>3142.623586101428</v>
      </c>
      <c r="K60" s="152">
        <f t="shared" si="14"/>
        <v>0.079</v>
      </c>
      <c r="L60" s="265">
        <f t="shared" si="18"/>
        <v>3390.890849403441</v>
      </c>
      <c r="M60" s="265">
        <f t="shared" si="19"/>
        <v>3658.771226506313</v>
      </c>
    </row>
    <row r="61" spans="1:13" ht="13.5">
      <c r="A61" s="702" t="s">
        <v>709</v>
      </c>
      <c r="B61" s="62">
        <v>500.89171</v>
      </c>
      <c r="C61" s="62">
        <f t="shared" si="20"/>
        <v>550.9808810000001</v>
      </c>
      <c r="D61" s="59">
        <f t="shared" si="15"/>
        <v>0.10000000000000016</v>
      </c>
      <c r="E61" s="23">
        <v>643.2591589498801</v>
      </c>
      <c r="F61" s="23">
        <f t="shared" si="16"/>
        <v>720.4502580238658</v>
      </c>
      <c r="G61" s="317">
        <f t="shared" si="21"/>
        <v>806.1838387287058</v>
      </c>
      <c r="H61" s="265">
        <f t="shared" si="17"/>
        <v>888.4145902790339</v>
      </c>
      <c r="I61" s="265">
        <v>996.801170293076</v>
      </c>
      <c r="J61" s="265">
        <f t="shared" si="6"/>
        <v>1075.548462746229</v>
      </c>
      <c r="K61" s="152">
        <f t="shared" si="14"/>
        <v>0.079</v>
      </c>
      <c r="L61" s="265">
        <f t="shared" si="18"/>
        <v>1160.516791303181</v>
      </c>
      <c r="M61" s="265">
        <f t="shared" si="19"/>
        <v>1252.1976178161324</v>
      </c>
    </row>
    <row r="62" spans="1:13" ht="13.5">
      <c r="A62" s="702" t="s">
        <v>477</v>
      </c>
      <c r="B62" s="62">
        <v>115.17638</v>
      </c>
      <c r="C62" s="62">
        <f t="shared" si="20"/>
        <v>126.694018</v>
      </c>
      <c r="D62" s="59">
        <f t="shared" si="15"/>
        <v>0.10000000000000005</v>
      </c>
      <c r="E62" s="23">
        <v>147.91273213464</v>
      </c>
      <c r="F62" s="23">
        <f t="shared" si="16"/>
        <v>165.66225999079683</v>
      </c>
      <c r="G62" s="317">
        <f t="shared" si="21"/>
        <v>185.37606892970166</v>
      </c>
      <c r="H62" s="265">
        <f t="shared" si="17"/>
        <v>204.28442796053122</v>
      </c>
      <c r="I62" s="265">
        <v>229.20712817171602</v>
      </c>
      <c r="J62" s="265">
        <f t="shared" si="6"/>
        <v>247.3144912972816</v>
      </c>
      <c r="K62" s="152">
        <f t="shared" si="14"/>
        <v>0.079</v>
      </c>
      <c r="L62" s="265">
        <f t="shared" si="18"/>
        <v>266.85233610976684</v>
      </c>
      <c r="M62" s="265">
        <f t="shared" si="19"/>
        <v>287.93367066243843</v>
      </c>
    </row>
    <row r="63" spans="1:13" ht="13.5">
      <c r="A63" s="702" t="s">
        <v>36</v>
      </c>
      <c r="B63" s="62">
        <v>283.5283</v>
      </c>
      <c r="C63" s="62">
        <f t="shared" si="20"/>
        <v>311.88113000000004</v>
      </c>
      <c r="D63" s="59">
        <f t="shared" si="15"/>
        <v>0.10000000000000014</v>
      </c>
      <c r="E63" s="23">
        <v>364.11498165240005</v>
      </c>
      <c r="F63" s="23">
        <f t="shared" si="16"/>
        <v>407.80877945068806</v>
      </c>
      <c r="G63" s="317">
        <f t="shared" si="21"/>
        <v>456.3380242053199</v>
      </c>
      <c r="H63" s="265">
        <f t="shared" si="17"/>
        <v>502.88450267426254</v>
      </c>
      <c r="I63" s="265">
        <v>564.2364120005226</v>
      </c>
      <c r="J63" s="265">
        <f t="shared" si="6"/>
        <v>608.8110885485639</v>
      </c>
      <c r="K63" s="152">
        <f t="shared" si="14"/>
        <v>0.079</v>
      </c>
      <c r="L63" s="265">
        <f t="shared" si="18"/>
        <v>656.9071645439005</v>
      </c>
      <c r="M63" s="265">
        <f t="shared" si="19"/>
        <v>708.8028305428687</v>
      </c>
    </row>
    <row r="64" spans="1:13" ht="13.5">
      <c r="A64" s="702" t="s">
        <v>532</v>
      </c>
      <c r="B64" s="62">
        <v>54.64228</v>
      </c>
      <c r="C64" s="62">
        <f t="shared" si="20"/>
        <v>60.106508000000005</v>
      </c>
      <c r="D64" s="59">
        <f t="shared" si="15"/>
        <v>0.1000000000000001</v>
      </c>
      <c r="E64" s="23">
        <v>70.17314595984001</v>
      </c>
      <c r="F64" s="23">
        <f t="shared" si="16"/>
        <v>78.59392347502082</v>
      </c>
      <c r="G64" s="317">
        <f t="shared" si="21"/>
        <v>87.94660036854829</v>
      </c>
      <c r="H64" s="265">
        <f t="shared" si="17"/>
        <v>96.91715360614022</v>
      </c>
      <c r="I64" s="265">
        <v>108.74104634608932</v>
      </c>
      <c r="J64" s="265">
        <f t="shared" si="6"/>
        <v>117.33158900743038</v>
      </c>
      <c r="K64" s="152">
        <f t="shared" si="14"/>
        <v>0.079</v>
      </c>
      <c r="L64" s="265">
        <f t="shared" si="18"/>
        <v>126.60078453901738</v>
      </c>
      <c r="M64" s="265">
        <f t="shared" si="19"/>
        <v>136.60224651759975</v>
      </c>
    </row>
    <row r="65" spans="1:13" ht="13.5">
      <c r="A65" s="702" t="s">
        <v>710</v>
      </c>
      <c r="B65" s="62">
        <v>76.79254</v>
      </c>
      <c r="C65" s="62">
        <f t="shared" si="20"/>
        <v>84.471794</v>
      </c>
      <c r="D65" s="59">
        <f t="shared" si="15"/>
        <v>0.1</v>
      </c>
      <c r="E65" s="23">
        <v>98.61913005912001</v>
      </c>
      <c r="F65" s="23">
        <f t="shared" si="16"/>
        <v>110.45342566621443</v>
      </c>
      <c r="G65" s="317">
        <f t="shared" si="21"/>
        <v>123.59738332049395</v>
      </c>
      <c r="H65" s="265">
        <f t="shared" si="17"/>
        <v>136.20431641918432</v>
      </c>
      <c r="I65" s="265">
        <v>152.8212430223248</v>
      </c>
      <c r="J65" s="265">
        <f t="shared" si="6"/>
        <v>164.89412122108845</v>
      </c>
      <c r="K65" s="152">
        <f t="shared" si="14"/>
        <v>0.079</v>
      </c>
      <c r="L65" s="265">
        <f t="shared" si="18"/>
        <v>177.92075679755445</v>
      </c>
      <c r="M65" s="265">
        <f t="shared" si="19"/>
        <v>191.97649658456126</v>
      </c>
    </row>
    <row r="66" spans="1:13" ht="13.5">
      <c r="A66" s="702" t="s">
        <v>533</v>
      </c>
      <c r="B66" s="62">
        <v>109.27213</v>
      </c>
      <c r="C66" s="62">
        <f t="shared" si="20"/>
        <v>120.19934300000001</v>
      </c>
      <c r="D66" s="59">
        <f t="shared" si="15"/>
        <v>0.10000000000000007</v>
      </c>
      <c r="E66" s="23">
        <v>140.33032896564</v>
      </c>
      <c r="F66" s="23">
        <f t="shared" si="16"/>
        <v>157.16996844151683</v>
      </c>
      <c r="G66" s="317">
        <f t="shared" si="21"/>
        <v>175.87319468605733</v>
      </c>
      <c r="H66" s="265">
        <f t="shared" si="17"/>
        <v>193.81226054403518</v>
      </c>
      <c r="I66" s="265">
        <v>217.45735633040746</v>
      </c>
      <c r="J66" s="265">
        <f t="shared" si="6"/>
        <v>234.63648748050966</v>
      </c>
      <c r="K66" s="152">
        <f t="shared" si="14"/>
        <v>0.079</v>
      </c>
      <c r="L66" s="265">
        <f t="shared" si="18"/>
        <v>253.17276999146992</v>
      </c>
      <c r="M66" s="265">
        <f t="shared" si="19"/>
        <v>273.17341882079603</v>
      </c>
    </row>
    <row r="67" spans="1:13" ht="13.5">
      <c r="A67" s="702" t="s">
        <v>534</v>
      </c>
      <c r="B67" s="62">
        <v>109.27213</v>
      </c>
      <c r="C67" s="62">
        <f t="shared" si="20"/>
        <v>120.19934300000001</v>
      </c>
      <c r="D67" s="59">
        <f t="shared" si="15"/>
        <v>0.10000000000000007</v>
      </c>
      <c r="E67" s="23">
        <v>140.33032896564</v>
      </c>
      <c r="F67" s="23">
        <f t="shared" si="16"/>
        <v>157.16996844151683</v>
      </c>
      <c r="G67" s="317">
        <f t="shared" si="21"/>
        <v>175.87319468605733</v>
      </c>
      <c r="H67" s="265">
        <f t="shared" si="17"/>
        <v>193.81226054403518</v>
      </c>
      <c r="I67" s="265">
        <v>217.45735633040746</v>
      </c>
      <c r="J67" s="265">
        <f t="shared" si="6"/>
        <v>234.63648748050966</v>
      </c>
      <c r="K67" s="152">
        <f t="shared" si="14"/>
        <v>0.079</v>
      </c>
      <c r="L67" s="265">
        <f t="shared" si="18"/>
        <v>253.17276999146992</v>
      </c>
      <c r="M67" s="265">
        <f t="shared" si="19"/>
        <v>273.17341882079603</v>
      </c>
    </row>
    <row r="68" spans="1:13" ht="13.5">
      <c r="A68" s="702" t="s">
        <v>535</v>
      </c>
      <c r="B68" s="62">
        <v>121.09306</v>
      </c>
      <c r="C68" s="62">
        <f t="shared" si="20"/>
        <v>133.202366</v>
      </c>
      <c r="D68" s="59">
        <f t="shared" si="15"/>
        <v>0.10000000000000016</v>
      </c>
      <c r="E68" s="23">
        <v>155.51109825768</v>
      </c>
      <c r="F68" s="23">
        <f t="shared" si="16"/>
        <v>174.17243004860163</v>
      </c>
      <c r="G68" s="317">
        <f t="shared" si="21"/>
        <v>194.8989492243852</v>
      </c>
      <c r="H68" s="265">
        <f t="shared" si="17"/>
        <v>214.7786420452725</v>
      </c>
      <c r="I68" s="265">
        <v>240.98163637479576</v>
      </c>
      <c r="J68" s="265">
        <f t="shared" si="6"/>
        <v>260.01918564840463</v>
      </c>
      <c r="K68" s="152">
        <f t="shared" si="14"/>
        <v>0.079</v>
      </c>
      <c r="L68" s="265">
        <f t="shared" si="18"/>
        <v>280.5607013146286</v>
      </c>
      <c r="M68" s="265">
        <f t="shared" si="19"/>
        <v>302.72499671848425</v>
      </c>
    </row>
    <row r="69" spans="1:13" ht="13.5">
      <c r="A69" s="702" t="s">
        <v>536</v>
      </c>
      <c r="B69" s="62">
        <v>109.27213</v>
      </c>
      <c r="C69" s="62">
        <f t="shared" si="20"/>
        <v>120.19934300000001</v>
      </c>
      <c r="D69" s="59">
        <f t="shared" si="15"/>
        <v>0.10000000000000007</v>
      </c>
      <c r="E69" s="23">
        <v>140.33032896564</v>
      </c>
      <c r="F69" s="23">
        <f t="shared" si="16"/>
        <v>157.16996844151683</v>
      </c>
      <c r="G69" s="317">
        <f t="shared" si="21"/>
        <v>175.87319468605733</v>
      </c>
      <c r="H69" s="265">
        <f t="shared" si="17"/>
        <v>193.81226054403518</v>
      </c>
      <c r="I69" s="265">
        <v>217.45735633040746</v>
      </c>
      <c r="J69" s="265">
        <f t="shared" si="6"/>
        <v>234.63648748050966</v>
      </c>
      <c r="K69" s="152">
        <f t="shared" si="14"/>
        <v>0.079</v>
      </c>
      <c r="L69" s="265">
        <f t="shared" si="18"/>
        <v>253.17276999146992</v>
      </c>
      <c r="M69" s="265">
        <f t="shared" si="19"/>
        <v>273.17341882079603</v>
      </c>
    </row>
    <row r="70" spans="1:13" ht="13.5">
      <c r="A70" s="702" t="s">
        <v>537</v>
      </c>
      <c r="B70" s="62">
        <v>109.27213</v>
      </c>
      <c r="C70" s="62">
        <f t="shared" si="20"/>
        <v>120.19934300000001</v>
      </c>
      <c r="D70" s="59">
        <f t="shared" si="15"/>
        <v>0.10000000000000007</v>
      </c>
      <c r="E70" s="23">
        <v>140.33032896564</v>
      </c>
      <c r="F70" s="23">
        <f t="shared" si="16"/>
        <v>157.16996844151683</v>
      </c>
      <c r="G70" s="317">
        <f t="shared" si="21"/>
        <v>175.87319468605733</v>
      </c>
      <c r="H70" s="265">
        <f t="shared" si="17"/>
        <v>193.81226054403518</v>
      </c>
      <c r="I70" s="265">
        <v>217.45735633040746</v>
      </c>
      <c r="J70" s="265">
        <f t="shared" si="6"/>
        <v>234.63648748050966</v>
      </c>
      <c r="K70" s="152">
        <f t="shared" si="14"/>
        <v>0.079</v>
      </c>
      <c r="L70" s="265">
        <f t="shared" si="18"/>
        <v>253.17276999146992</v>
      </c>
      <c r="M70" s="265">
        <f t="shared" si="19"/>
        <v>273.17341882079603</v>
      </c>
    </row>
    <row r="71" spans="1:13" ht="13.5">
      <c r="A71" s="702" t="s">
        <v>711</v>
      </c>
      <c r="B71" s="62">
        <v>63.492439999999995</v>
      </c>
      <c r="C71" s="62">
        <f t="shared" si="20"/>
        <v>69.841684</v>
      </c>
      <c r="D71" s="59">
        <f t="shared" si="15"/>
        <v>0.1000000000000001</v>
      </c>
      <c r="E71" s="23">
        <v>81.53876923632</v>
      </c>
      <c r="F71" s="23">
        <f t="shared" si="16"/>
        <v>91.3234215446784</v>
      </c>
      <c r="G71" s="317">
        <f t="shared" si="21"/>
        <v>102.19090870849513</v>
      </c>
      <c r="H71" s="265">
        <f t="shared" si="17"/>
        <v>112.61438139676163</v>
      </c>
      <c r="I71" s="265">
        <v>126.35333592716654</v>
      </c>
      <c r="J71" s="265">
        <f t="shared" si="6"/>
        <v>136.3352494654127</v>
      </c>
      <c r="K71" s="152">
        <f t="shared" si="14"/>
        <v>0.079</v>
      </c>
      <c r="L71" s="265">
        <f t="shared" si="18"/>
        <v>147.10573417318028</v>
      </c>
      <c r="M71" s="265">
        <f t="shared" si="19"/>
        <v>158.72708717286153</v>
      </c>
    </row>
    <row r="72" spans="1:13" ht="13.5">
      <c r="A72" s="60"/>
      <c r="B72" s="61"/>
      <c r="C72" s="61"/>
      <c r="D72" s="59"/>
      <c r="E72" s="61"/>
      <c r="F72" s="23"/>
      <c r="G72" s="317"/>
      <c r="H72" s="265"/>
      <c r="I72" s="265"/>
      <c r="J72" s="265"/>
      <c r="K72" s="152"/>
      <c r="L72" s="265"/>
      <c r="M72" s="265"/>
    </row>
    <row r="73" spans="1:13" ht="13.5">
      <c r="A73" s="52" t="s">
        <v>705</v>
      </c>
      <c r="B73" s="61"/>
      <c r="C73" s="61"/>
      <c r="D73" s="59"/>
      <c r="E73" s="61"/>
      <c r="F73" s="23"/>
      <c r="G73" s="317"/>
      <c r="H73" s="265"/>
      <c r="I73" s="265"/>
      <c r="J73" s="265"/>
      <c r="K73" s="152"/>
      <c r="L73" s="265"/>
      <c r="M73" s="265"/>
    </row>
    <row r="74" spans="1:13" ht="13.5">
      <c r="A74" s="702" t="s">
        <v>37</v>
      </c>
      <c r="B74" s="61">
        <v>56.10902</v>
      </c>
      <c r="C74" s="62">
        <f>B74*1.1</f>
        <v>61.719922000000004</v>
      </c>
      <c r="D74" s="59">
        <f aca="true" t="shared" si="22" ref="D74:D129">SUM(C74-B74)/B74</f>
        <v>0.10000000000000005</v>
      </c>
      <c r="E74" s="23">
        <v>72.05677453656001</v>
      </c>
      <c r="F74" s="23">
        <f aca="true" t="shared" si="23" ref="F74:F129">E74*1.12</f>
        <v>80.70358748094722</v>
      </c>
      <c r="G74" s="317">
        <f>F74*1.119</f>
        <v>90.30731439117994</v>
      </c>
      <c r="H74" s="265">
        <f aca="true" t="shared" si="24" ref="H74:H128">(G74*$H$8)+G74</f>
        <v>99.5186604590803</v>
      </c>
      <c r="I74" s="265">
        <v>111.65993703508809</v>
      </c>
      <c r="J74" s="265">
        <f t="shared" si="6"/>
        <v>120.48107206086004</v>
      </c>
      <c r="K74" s="152">
        <f t="shared" si="14"/>
        <v>0.079</v>
      </c>
      <c r="L74" s="265">
        <f aca="true" t="shared" si="25" ref="L74:L129">(J74*$L$8)+J74</f>
        <v>129.999076753668</v>
      </c>
      <c r="M74" s="265">
        <f aca="true" t="shared" si="26" ref="M74:M129">(L74*$M$8)+L74</f>
        <v>140.26900381720776</v>
      </c>
    </row>
    <row r="75" spans="1:13" ht="13.5">
      <c r="A75" s="702" t="s">
        <v>712</v>
      </c>
      <c r="B75" s="61">
        <v>63.492439999999995</v>
      </c>
      <c r="C75" s="62">
        <f aca="true" t="shared" si="27" ref="C75:C129">B75*1.1</f>
        <v>69.841684</v>
      </c>
      <c r="D75" s="59">
        <f t="shared" si="22"/>
        <v>0.1000000000000001</v>
      </c>
      <c r="E75" s="23">
        <v>81.53876923632</v>
      </c>
      <c r="F75" s="23">
        <f t="shared" si="23"/>
        <v>91.3234215446784</v>
      </c>
      <c r="G75" s="317">
        <f aca="true" t="shared" si="28" ref="G75:G129">F75*1.119</f>
        <v>102.19090870849513</v>
      </c>
      <c r="H75" s="265">
        <f t="shared" si="24"/>
        <v>112.61438139676163</v>
      </c>
      <c r="I75" s="265">
        <v>126.35333592716654</v>
      </c>
      <c r="J75" s="265">
        <f t="shared" si="6"/>
        <v>136.3352494654127</v>
      </c>
      <c r="K75" s="152">
        <f t="shared" si="14"/>
        <v>0.079</v>
      </c>
      <c r="L75" s="265">
        <f t="shared" si="25"/>
        <v>147.10573417318028</v>
      </c>
      <c r="M75" s="265">
        <f t="shared" si="26"/>
        <v>158.72708717286153</v>
      </c>
    </row>
    <row r="76" spans="1:13" ht="13.5">
      <c r="A76" s="702" t="s">
        <v>38</v>
      </c>
      <c r="B76" s="61">
        <v>121.09306</v>
      </c>
      <c r="C76" s="62">
        <f t="shared" si="27"/>
        <v>133.202366</v>
      </c>
      <c r="D76" s="59">
        <f t="shared" si="22"/>
        <v>0.10000000000000016</v>
      </c>
      <c r="E76" s="23">
        <v>155.51109825768</v>
      </c>
      <c r="F76" s="23">
        <f t="shared" si="23"/>
        <v>174.17243004860163</v>
      </c>
      <c r="G76" s="317">
        <f t="shared" si="28"/>
        <v>194.8989492243852</v>
      </c>
      <c r="H76" s="265">
        <f t="shared" si="24"/>
        <v>214.7786420452725</v>
      </c>
      <c r="I76" s="265">
        <v>240.98163637479576</v>
      </c>
      <c r="J76" s="265">
        <f t="shared" si="6"/>
        <v>260.01918564840463</v>
      </c>
      <c r="K76" s="152">
        <f t="shared" si="14"/>
        <v>0.079</v>
      </c>
      <c r="L76" s="265">
        <f t="shared" si="25"/>
        <v>280.5607013146286</v>
      </c>
      <c r="M76" s="265">
        <f t="shared" si="26"/>
        <v>302.72499671848425</v>
      </c>
    </row>
    <row r="77" spans="1:13" ht="13.5">
      <c r="A77" s="702" t="s">
        <v>39</v>
      </c>
      <c r="B77" s="61">
        <v>109.27213</v>
      </c>
      <c r="C77" s="62">
        <f t="shared" si="27"/>
        <v>120.19934300000001</v>
      </c>
      <c r="D77" s="59">
        <f t="shared" si="22"/>
        <v>0.10000000000000007</v>
      </c>
      <c r="E77" s="23">
        <v>140.33032896564</v>
      </c>
      <c r="F77" s="23">
        <f t="shared" si="23"/>
        <v>157.16996844151683</v>
      </c>
      <c r="G77" s="317">
        <f t="shared" si="28"/>
        <v>175.87319468605733</v>
      </c>
      <c r="H77" s="265">
        <f t="shared" si="24"/>
        <v>193.81226054403518</v>
      </c>
      <c r="I77" s="265">
        <v>217.45735633040746</v>
      </c>
      <c r="J77" s="265">
        <f t="shared" si="6"/>
        <v>234.63648748050966</v>
      </c>
      <c r="K77" s="152">
        <f t="shared" si="14"/>
        <v>0.079</v>
      </c>
      <c r="L77" s="265">
        <f t="shared" si="25"/>
        <v>253.17276999146992</v>
      </c>
      <c r="M77" s="265">
        <f t="shared" si="26"/>
        <v>273.17341882079603</v>
      </c>
    </row>
    <row r="78" spans="1:13" ht="13.5">
      <c r="A78" s="702" t="s">
        <v>713</v>
      </c>
      <c r="B78" s="61">
        <v>63.492439999999995</v>
      </c>
      <c r="C78" s="62">
        <f t="shared" si="27"/>
        <v>69.841684</v>
      </c>
      <c r="D78" s="59">
        <f t="shared" si="22"/>
        <v>0.1000000000000001</v>
      </c>
      <c r="E78" s="23">
        <v>81.53876923632</v>
      </c>
      <c r="F78" s="23">
        <f t="shared" si="23"/>
        <v>91.3234215446784</v>
      </c>
      <c r="G78" s="317">
        <f t="shared" si="28"/>
        <v>102.19090870849513</v>
      </c>
      <c r="H78" s="265">
        <f t="shared" si="24"/>
        <v>112.61438139676163</v>
      </c>
      <c r="I78" s="265">
        <v>126.35333592716654</v>
      </c>
      <c r="J78" s="265">
        <f t="shared" si="6"/>
        <v>136.3352494654127</v>
      </c>
      <c r="K78" s="152">
        <f t="shared" si="14"/>
        <v>0.079</v>
      </c>
      <c r="L78" s="265">
        <f t="shared" si="25"/>
        <v>147.10573417318028</v>
      </c>
      <c r="M78" s="265">
        <f t="shared" si="26"/>
        <v>158.72708717286153</v>
      </c>
    </row>
    <row r="79" spans="1:13" ht="13.5">
      <c r="A79" s="702" t="s">
        <v>714</v>
      </c>
      <c r="B79" s="61">
        <v>32.49202</v>
      </c>
      <c r="C79" s="62">
        <f t="shared" si="27"/>
        <v>35.741222</v>
      </c>
      <c r="D79" s="59">
        <f t="shared" si="22"/>
        <v>0.10000000000000013</v>
      </c>
      <c r="E79" s="23">
        <v>41.72716186056</v>
      </c>
      <c r="F79" s="23">
        <f t="shared" si="23"/>
        <v>46.73442128382721</v>
      </c>
      <c r="G79" s="317">
        <f t="shared" si="28"/>
        <v>52.295817416602645</v>
      </c>
      <c r="H79" s="265">
        <f t="shared" si="24"/>
        <v>57.62999079309611</v>
      </c>
      <c r="I79" s="265">
        <v>64.66084966985383</v>
      </c>
      <c r="J79" s="265">
        <f t="shared" si="6"/>
        <v>69.76905679377228</v>
      </c>
      <c r="K79" s="152">
        <f t="shared" si="14"/>
        <v>0.079</v>
      </c>
      <c r="L79" s="265">
        <f t="shared" si="25"/>
        <v>75.28081228048029</v>
      </c>
      <c r="M79" s="265">
        <f t="shared" si="26"/>
        <v>81.22799645063823</v>
      </c>
    </row>
    <row r="80" spans="1:13" ht="13.5">
      <c r="A80" s="702" t="s">
        <v>715</v>
      </c>
      <c r="B80" s="61">
        <v>32.49202</v>
      </c>
      <c r="C80" s="62">
        <f t="shared" si="27"/>
        <v>35.741222</v>
      </c>
      <c r="D80" s="59">
        <f t="shared" si="22"/>
        <v>0.10000000000000013</v>
      </c>
      <c r="E80" s="23">
        <v>41.72716186056</v>
      </c>
      <c r="F80" s="23">
        <f t="shared" si="23"/>
        <v>46.73442128382721</v>
      </c>
      <c r="G80" s="317">
        <f t="shared" si="28"/>
        <v>52.295817416602645</v>
      </c>
      <c r="H80" s="265">
        <f t="shared" si="24"/>
        <v>57.62999079309611</v>
      </c>
      <c r="I80" s="265">
        <v>64.66084966985383</v>
      </c>
      <c r="J80" s="265">
        <f t="shared" si="6"/>
        <v>69.76905679377228</v>
      </c>
      <c r="K80" s="152">
        <f t="shared" si="14"/>
        <v>0.079</v>
      </c>
      <c r="L80" s="265">
        <f t="shared" si="25"/>
        <v>75.28081228048029</v>
      </c>
      <c r="M80" s="265">
        <f t="shared" si="26"/>
        <v>81.22799645063823</v>
      </c>
    </row>
    <row r="81" spans="1:13" ht="13.5">
      <c r="A81" s="702" t="s">
        <v>716</v>
      </c>
      <c r="B81" s="61">
        <v>56.10902</v>
      </c>
      <c r="C81" s="62">
        <f t="shared" si="27"/>
        <v>61.719922000000004</v>
      </c>
      <c r="D81" s="59">
        <f t="shared" si="22"/>
        <v>0.10000000000000005</v>
      </c>
      <c r="E81" s="23">
        <v>72.05677453656001</v>
      </c>
      <c r="F81" s="23">
        <f t="shared" si="23"/>
        <v>80.70358748094722</v>
      </c>
      <c r="G81" s="317">
        <f t="shared" si="28"/>
        <v>90.30731439117994</v>
      </c>
      <c r="H81" s="265">
        <f t="shared" si="24"/>
        <v>99.5186604590803</v>
      </c>
      <c r="I81" s="265">
        <v>111.65993703508809</v>
      </c>
      <c r="J81" s="265">
        <f t="shared" si="6"/>
        <v>120.48107206086004</v>
      </c>
      <c r="K81" s="152">
        <f t="shared" si="14"/>
        <v>0.079</v>
      </c>
      <c r="L81" s="265">
        <f t="shared" si="25"/>
        <v>129.999076753668</v>
      </c>
      <c r="M81" s="265">
        <f t="shared" si="26"/>
        <v>140.26900381720776</v>
      </c>
    </row>
    <row r="82" spans="1:13" ht="13.5">
      <c r="A82" s="702" t="s">
        <v>717</v>
      </c>
      <c r="B82" s="61">
        <v>76.79254</v>
      </c>
      <c r="C82" s="62">
        <f t="shared" si="27"/>
        <v>84.471794</v>
      </c>
      <c r="D82" s="59">
        <f t="shared" si="22"/>
        <v>0.1</v>
      </c>
      <c r="E82" s="23">
        <v>98.61913005912001</v>
      </c>
      <c r="F82" s="23">
        <f t="shared" si="23"/>
        <v>110.45342566621443</v>
      </c>
      <c r="G82" s="317">
        <f t="shared" si="28"/>
        <v>123.59738332049395</v>
      </c>
      <c r="H82" s="265">
        <f t="shared" si="24"/>
        <v>136.20431641918432</v>
      </c>
      <c r="I82" s="265">
        <v>152.8212430223248</v>
      </c>
      <c r="J82" s="265">
        <f t="shared" si="6"/>
        <v>164.89412122108845</v>
      </c>
      <c r="K82" s="152">
        <f aca="true" t="shared" si="29" ref="K82:K113">$K$8</f>
        <v>0.079</v>
      </c>
      <c r="L82" s="265">
        <f t="shared" si="25"/>
        <v>177.92075679755445</v>
      </c>
      <c r="M82" s="265">
        <f t="shared" si="26"/>
        <v>191.97649658456126</v>
      </c>
    </row>
    <row r="83" spans="1:13" ht="13.5">
      <c r="A83" s="702" t="s">
        <v>40</v>
      </c>
      <c r="B83" s="61">
        <v>56.10902</v>
      </c>
      <c r="C83" s="62">
        <f t="shared" si="27"/>
        <v>61.719922000000004</v>
      </c>
      <c r="D83" s="59">
        <f t="shared" si="22"/>
        <v>0.10000000000000005</v>
      </c>
      <c r="E83" s="23">
        <v>72.05677453656001</v>
      </c>
      <c r="F83" s="23">
        <f t="shared" si="23"/>
        <v>80.70358748094722</v>
      </c>
      <c r="G83" s="317">
        <f t="shared" si="28"/>
        <v>90.30731439117994</v>
      </c>
      <c r="H83" s="265">
        <f t="shared" si="24"/>
        <v>99.5186604590803</v>
      </c>
      <c r="I83" s="265">
        <v>111.65993703508809</v>
      </c>
      <c r="J83" s="265">
        <f t="shared" si="6"/>
        <v>120.48107206086004</v>
      </c>
      <c r="K83" s="152">
        <f t="shared" si="29"/>
        <v>0.079</v>
      </c>
      <c r="L83" s="265">
        <f t="shared" si="25"/>
        <v>129.999076753668</v>
      </c>
      <c r="M83" s="265">
        <f t="shared" si="26"/>
        <v>140.26900381720776</v>
      </c>
    </row>
    <row r="84" spans="1:13" ht="13.5">
      <c r="A84" s="702" t="s">
        <v>41</v>
      </c>
      <c r="B84" s="61">
        <v>31.012849999999997</v>
      </c>
      <c r="C84" s="62">
        <f t="shared" si="27"/>
        <v>34.114135</v>
      </c>
      <c r="D84" s="59">
        <f t="shared" si="22"/>
        <v>0.10000000000000003</v>
      </c>
      <c r="E84" s="23">
        <v>39.8275703298</v>
      </c>
      <c r="F84" s="23">
        <f t="shared" si="23"/>
        <v>44.606878769376</v>
      </c>
      <c r="G84" s="317">
        <f t="shared" si="28"/>
        <v>49.915097342931745</v>
      </c>
      <c r="H84" s="265">
        <f t="shared" si="24"/>
        <v>55.006437271910784</v>
      </c>
      <c r="I84" s="265">
        <v>61.7172226190839</v>
      </c>
      <c r="J84" s="265">
        <f t="shared" si="6"/>
        <v>66.59288320599153</v>
      </c>
      <c r="K84" s="152">
        <f t="shared" si="29"/>
        <v>0.079</v>
      </c>
      <c r="L84" s="265">
        <f t="shared" si="25"/>
        <v>71.85372097926486</v>
      </c>
      <c r="M84" s="265">
        <f t="shared" si="26"/>
        <v>77.53016493662679</v>
      </c>
    </row>
    <row r="85" spans="1:13" ht="13.5">
      <c r="A85" s="702" t="s">
        <v>42</v>
      </c>
      <c r="B85" s="61">
        <v>56.10902</v>
      </c>
      <c r="C85" s="62">
        <f t="shared" si="27"/>
        <v>61.719922000000004</v>
      </c>
      <c r="D85" s="59">
        <f t="shared" si="22"/>
        <v>0.10000000000000005</v>
      </c>
      <c r="E85" s="23">
        <v>72.05677453656001</v>
      </c>
      <c r="F85" s="23">
        <f t="shared" si="23"/>
        <v>80.70358748094722</v>
      </c>
      <c r="G85" s="317">
        <f t="shared" si="28"/>
        <v>90.30731439117994</v>
      </c>
      <c r="H85" s="265">
        <f t="shared" si="24"/>
        <v>99.5186604590803</v>
      </c>
      <c r="I85" s="265">
        <v>111.65993703508809</v>
      </c>
      <c r="J85" s="265">
        <f t="shared" si="6"/>
        <v>120.48107206086004</v>
      </c>
      <c r="K85" s="152">
        <f t="shared" si="29"/>
        <v>0.079</v>
      </c>
      <c r="L85" s="265">
        <f t="shared" si="25"/>
        <v>129.999076753668</v>
      </c>
      <c r="M85" s="265">
        <f t="shared" si="26"/>
        <v>140.26900381720776</v>
      </c>
    </row>
    <row r="86" spans="1:13" ht="13.5">
      <c r="A86" s="702" t="s">
        <v>43</v>
      </c>
      <c r="B86" s="61">
        <v>76.79254</v>
      </c>
      <c r="C86" s="62">
        <f t="shared" si="27"/>
        <v>84.471794</v>
      </c>
      <c r="D86" s="59">
        <f t="shared" si="22"/>
        <v>0.1</v>
      </c>
      <c r="E86" s="23">
        <v>98.61913005912001</v>
      </c>
      <c r="F86" s="23">
        <f t="shared" si="23"/>
        <v>110.45342566621443</v>
      </c>
      <c r="G86" s="317">
        <f t="shared" si="28"/>
        <v>123.59738332049395</v>
      </c>
      <c r="H86" s="265">
        <f t="shared" si="24"/>
        <v>136.20431641918432</v>
      </c>
      <c r="I86" s="265">
        <v>152.8212430223248</v>
      </c>
      <c r="J86" s="265">
        <f t="shared" si="6"/>
        <v>164.89412122108845</v>
      </c>
      <c r="K86" s="152">
        <f t="shared" si="29"/>
        <v>0.079</v>
      </c>
      <c r="L86" s="265">
        <f t="shared" si="25"/>
        <v>177.92075679755445</v>
      </c>
      <c r="M86" s="265">
        <f t="shared" si="26"/>
        <v>191.97649658456126</v>
      </c>
    </row>
    <row r="87" spans="1:13" ht="13.5">
      <c r="A87" s="702" t="s">
        <v>44</v>
      </c>
      <c r="B87" s="61">
        <v>84.17596</v>
      </c>
      <c r="C87" s="62">
        <f t="shared" si="27"/>
        <v>92.593556</v>
      </c>
      <c r="D87" s="59">
        <f t="shared" si="22"/>
        <v>0.10000000000000003</v>
      </c>
      <c r="E87" s="23">
        <v>108.10112475888002</v>
      </c>
      <c r="F87" s="23">
        <f t="shared" si="23"/>
        <v>121.07325972994563</v>
      </c>
      <c r="G87" s="317">
        <f t="shared" si="28"/>
        <v>135.48097763780916</v>
      </c>
      <c r="H87" s="265">
        <f t="shared" si="24"/>
        <v>149.3000373568657</v>
      </c>
      <c r="I87" s="265">
        <v>167.51464191440328</v>
      </c>
      <c r="J87" s="265">
        <f t="shared" si="6"/>
        <v>180.74829862564116</v>
      </c>
      <c r="K87" s="152">
        <f t="shared" si="29"/>
        <v>0.079</v>
      </c>
      <c r="L87" s="265">
        <f t="shared" si="25"/>
        <v>195.0274142170668</v>
      </c>
      <c r="M87" s="265">
        <f t="shared" si="26"/>
        <v>210.43457994021506</v>
      </c>
    </row>
    <row r="88" spans="1:13" ht="13.5">
      <c r="A88" s="702" t="s">
        <v>45</v>
      </c>
      <c r="B88" s="61">
        <v>32.49202</v>
      </c>
      <c r="C88" s="62">
        <f t="shared" si="27"/>
        <v>35.741222</v>
      </c>
      <c r="D88" s="59">
        <f t="shared" si="22"/>
        <v>0.10000000000000013</v>
      </c>
      <c r="E88" s="23">
        <v>41.72716186056</v>
      </c>
      <c r="F88" s="23">
        <f t="shared" si="23"/>
        <v>46.73442128382721</v>
      </c>
      <c r="G88" s="317">
        <f t="shared" si="28"/>
        <v>52.295817416602645</v>
      </c>
      <c r="H88" s="265">
        <f t="shared" si="24"/>
        <v>57.62999079309611</v>
      </c>
      <c r="I88" s="265">
        <v>64.66084966985383</v>
      </c>
      <c r="J88" s="265">
        <f t="shared" si="6"/>
        <v>69.76905679377228</v>
      </c>
      <c r="K88" s="152">
        <f t="shared" si="29"/>
        <v>0.079</v>
      </c>
      <c r="L88" s="265">
        <f t="shared" si="25"/>
        <v>75.28081228048029</v>
      </c>
      <c r="M88" s="265">
        <f t="shared" si="26"/>
        <v>81.22799645063823</v>
      </c>
    </row>
    <row r="89" spans="1:13" ht="13.5">
      <c r="A89" s="702" t="s">
        <v>46</v>
      </c>
      <c r="B89" s="61">
        <v>76.79254</v>
      </c>
      <c r="C89" s="62">
        <f t="shared" si="27"/>
        <v>84.471794</v>
      </c>
      <c r="D89" s="59">
        <f t="shared" si="22"/>
        <v>0.1</v>
      </c>
      <c r="E89" s="23">
        <v>98.61913005912001</v>
      </c>
      <c r="F89" s="23">
        <f t="shared" si="23"/>
        <v>110.45342566621443</v>
      </c>
      <c r="G89" s="317">
        <f t="shared" si="28"/>
        <v>123.59738332049395</v>
      </c>
      <c r="H89" s="265">
        <f t="shared" si="24"/>
        <v>136.20431641918432</v>
      </c>
      <c r="I89" s="265">
        <v>152.8212430223248</v>
      </c>
      <c r="J89" s="265">
        <f t="shared" si="6"/>
        <v>164.89412122108845</v>
      </c>
      <c r="K89" s="152">
        <f t="shared" si="29"/>
        <v>0.079</v>
      </c>
      <c r="L89" s="265">
        <f t="shared" si="25"/>
        <v>177.92075679755445</v>
      </c>
      <c r="M89" s="265">
        <f t="shared" si="26"/>
        <v>191.97649658456126</v>
      </c>
    </row>
    <row r="90" spans="1:13" ht="13.5">
      <c r="A90" s="702" t="s">
        <v>718</v>
      </c>
      <c r="B90" s="61">
        <v>11.8085</v>
      </c>
      <c r="C90" s="62">
        <f t="shared" si="27"/>
        <v>12.989350000000002</v>
      </c>
      <c r="D90" s="59">
        <f t="shared" si="22"/>
        <v>0.1000000000000001</v>
      </c>
      <c r="E90" s="23">
        <v>15.164806338000002</v>
      </c>
      <c r="F90" s="23">
        <f t="shared" si="23"/>
        <v>16.984583098560005</v>
      </c>
      <c r="G90" s="317">
        <f t="shared" si="28"/>
        <v>19.005748487288646</v>
      </c>
      <c r="H90" s="265">
        <f t="shared" si="24"/>
        <v>20.944334832992087</v>
      </c>
      <c r="I90" s="265">
        <v>23.499543682617123</v>
      </c>
      <c r="J90" s="265">
        <f t="shared" si="6"/>
        <v>25.356007633543875</v>
      </c>
      <c r="K90" s="152">
        <f t="shared" si="29"/>
        <v>0.079</v>
      </c>
      <c r="L90" s="265">
        <f t="shared" si="25"/>
        <v>27.35913223659384</v>
      </c>
      <c r="M90" s="265">
        <f t="shared" si="26"/>
        <v>29.520503683284755</v>
      </c>
    </row>
    <row r="91" spans="1:13" ht="13.5">
      <c r="A91" s="702" t="s">
        <v>538</v>
      </c>
      <c r="B91" s="61">
        <v>11.8085</v>
      </c>
      <c r="C91" s="62">
        <f t="shared" si="27"/>
        <v>12.989350000000002</v>
      </c>
      <c r="D91" s="59">
        <f t="shared" si="22"/>
        <v>0.1000000000000001</v>
      </c>
      <c r="E91" s="23">
        <v>15.164806338000002</v>
      </c>
      <c r="F91" s="23">
        <f t="shared" si="23"/>
        <v>16.984583098560005</v>
      </c>
      <c r="G91" s="317">
        <f t="shared" si="28"/>
        <v>19.005748487288646</v>
      </c>
      <c r="H91" s="265">
        <f t="shared" si="24"/>
        <v>20.944334832992087</v>
      </c>
      <c r="I91" s="265">
        <v>23.499543682617123</v>
      </c>
      <c r="J91" s="265">
        <f t="shared" si="6"/>
        <v>25.356007633543875</v>
      </c>
      <c r="K91" s="152">
        <f t="shared" si="29"/>
        <v>0.079</v>
      </c>
      <c r="L91" s="265">
        <f t="shared" si="25"/>
        <v>27.35913223659384</v>
      </c>
      <c r="M91" s="265">
        <f t="shared" si="26"/>
        <v>29.520503683284755</v>
      </c>
    </row>
    <row r="92" spans="1:13" ht="13.5">
      <c r="A92" s="702" t="s">
        <v>539</v>
      </c>
      <c r="B92" s="61">
        <v>11.8085</v>
      </c>
      <c r="C92" s="62">
        <f t="shared" si="27"/>
        <v>12.989350000000002</v>
      </c>
      <c r="D92" s="59">
        <f t="shared" si="22"/>
        <v>0.1000000000000001</v>
      </c>
      <c r="E92" s="23">
        <v>15.164806338000002</v>
      </c>
      <c r="F92" s="23">
        <f t="shared" si="23"/>
        <v>16.984583098560005</v>
      </c>
      <c r="G92" s="317">
        <f t="shared" si="28"/>
        <v>19.005748487288646</v>
      </c>
      <c r="H92" s="265">
        <f t="shared" si="24"/>
        <v>20.944334832992087</v>
      </c>
      <c r="I92" s="265">
        <v>23.499543682617123</v>
      </c>
      <c r="J92" s="265">
        <f t="shared" si="6"/>
        <v>25.356007633543875</v>
      </c>
      <c r="K92" s="152">
        <f t="shared" si="29"/>
        <v>0.079</v>
      </c>
      <c r="L92" s="265">
        <f t="shared" si="25"/>
        <v>27.35913223659384</v>
      </c>
      <c r="M92" s="265">
        <f t="shared" si="26"/>
        <v>29.520503683284755</v>
      </c>
    </row>
    <row r="93" spans="1:13" ht="13.5">
      <c r="A93" s="54" t="s">
        <v>510</v>
      </c>
      <c r="B93" s="61">
        <v>56.10902</v>
      </c>
      <c r="C93" s="62">
        <f t="shared" si="27"/>
        <v>61.719922000000004</v>
      </c>
      <c r="D93" s="59">
        <f t="shared" si="22"/>
        <v>0.10000000000000005</v>
      </c>
      <c r="E93" s="23">
        <v>72.05677453656001</v>
      </c>
      <c r="F93" s="23">
        <f t="shared" si="23"/>
        <v>80.70358748094722</v>
      </c>
      <c r="G93" s="317">
        <f t="shared" si="28"/>
        <v>90.30731439117994</v>
      </c>
      <c r="H93" s="265">
        <f t="shared" si="24"/>
        <v>99.5186604590803</v>
      </c>
      <c r="I93" s="265">
        <v>111.65993703508809</v>
      </c>
      <c r="J93" s="265">
        <f t="shared" si="6"/>
        <v>120.48107206086004</v>
      </c>
      <c r="K93" s="152">
        <f t="shared" si="29"/>
        <v>0.079</v>
      </c>
      <c r="L93" s="265">
        <f t="shared" si="25"/>
        <v>129.999076753668</v>
      </c>
      <c r="M93" s="265">
        <f t="shared" si="26"/>
        <v>140.26900381720776</v>
      </c>
    </row>
    <row r="94" spans="1:13" ht="13.5">
      <c r="A94" s="54" t="s">
        <v>719</v>
      </c>
      <c r="B94" s="61">
        <v>13.287669999999999</v>
      </c>
      <c r="C94" s="62">
        <f t="shared" si="27"/>
        <v>14.616437</v>
      </c>
      <c r="D94" s="59">
        <f t="shared" si="22"/>
        <v>0.10000000000000007</v>
      </c>
      <c r="E94" s="23">
        <v>17.06439786876</v>
      </c>
      <c r="F94" s="23">
        <f t="shared" si="23"/>
        <v>19.1121256130112</v>
      </c>
      <c r="G94" s="317">
        <f t="shared" si="28"/>
        <v>21.386468560959536</v>
      </c>
      <c r="H94" s="265">
        <f t="shared" si="24"/>
        <v>23.56788835417741</v>
      </c>
      <c r="I94" s="265">
        <v>26.443170733387053</v>
      </c>
      <c r="J94" s="265">
        <f t="shared" si="6"/>
        <v>28.53218122132463</v>
      </c>
      <c r="K94" s="152">
        <f t="shared" si="29"/>
        <v>0.079</v>
      </c>
      <c r="L94" s="265">
        <f t="shared" si="25"/>
        <v>30.786223537809278</v>
      </c>
      <c r="M94" s="265">
        <f t="shared" si="26"/>
        <v>33.21833519729621</v>
      </c>
    </row>
    <row r="95" spans="1:13" ht="13.5">
      <c r="A95" s="54" t="s">
        <v>511</v>
      </c>
      <c r="B95" s="61">
        <v>56.10902</v>
      </c>
      <c r="C95" s="62">
        <f t="shared" si="27"/>
        <v>61.719922000000004</v>
      </c>
      <c r="D95" s="59">
        <f t="shared" si="22"/>
        <v>0.10000000000000005</v>
      </c>
      <c r="E95" s="23">
        <v>72.05677453656001</v>
      </c>
      <c r="F95" s="23">
        <f t="shared" si="23"/>
        <v>80.70358748094722</v>
      </c>
      <c r="G95" s="317">
        <f t="shared" si="28"/>
        <v>90.30731439117994</v>
      </c>
      <c r="H95" s="265">
        <f t="shared" si="24"/>
        <v>99.5186604590803</v>
      </c>
      <c r="I95" s="265">
        <v>111.65993703508809</v>
      </c>
      <c r="J95" s="265">
        <f t="shared" si="6"/>
        <v>120.48107206086004</v>
      </c>
      <c r="K95" s="152">
        <f t="shared" si="29"/>
        <v>0.079</v>
      </c>
      <c r="L95" s="265">
        <f t="shared" si="25"/>
        <v>129.999076753668</v>
      </c>
      <c r="M95" s="265">
        <f t="shared" si="26"/>
        <v>140.26900381720776</v>
      </c>
    </row>
    <row r="96" spans="1:13" ht="13.5">
      <c r="A96" s="54" t="s">
        <v>512</v>
      </c>
      <c r="B96" s="61">
        <v>56.10902</v>
      </c>
      <c r="C96" s="62">
        <f t="shared" si="27"/>
        <v>61.719922000000004</v>
      </c>
      <c r="D96" s="59">
        <f t="shared" si="22"/>
        <v>0.10000000000000005</v>
      </c>
      <c r="E96" s="23">
        <v>72.05677453656001</v>
      </c>
      <c r="F96" s="23">
        <f t="shared" si="23"/>
        <v>80.70358748094722</v>
      </c>
      <c r="G96" s="317">
        <f t="shared" si="28"/>
        <v>90.30731439117994</v>
      </c>
      <c r="H96" s="265">
        <f t="shared" si="24"/>
        <v>99.5186604590803</v>
      </c>
      <c r="I96" s="265">
        <v>111.65993703508809</v>
      </c>
      <c r="J96" s="265">
        <f t="shared" si="6"/>
        <v>120.48107206086004</v>
      </c>
      <c r="K96" s="152">
        <f t="shared" si="29"/>
        <v>0.079</v>
      </c>
      <c r="L96" s="265">
        <f t="shared" si="25"/>
        <v>129.999076753668</v>
      </c>
      <c r="M96" s="265">
        <f t="shared" si="26"/>
        <v>140.26900381720776</v>
      </c>
    </row>
    <row r="97" spans="1:13" ht="13.5">
      <c r="A97" s="54" t="s">
        <v>513</v>
      </c>
      <c r="B97" s="61">
        <v>56.10902</v>
      </c>
      <c r="C97" s="62">
        <f t="shared" si="27"/>
        <v>61.719922000000004</v>
      </c>
      <c r="D97" s="59">
        <f t="shared" si="22"/>
        <v>0.10000000000000005</v>
      </c>
      <c r="E97" s="23">
        <v>72.05677453656001</v>
      </c>
      <c r="F97" s="23">
        <f t="shared" si="23"/>
        <v>80.70358748094722</v>
      </c>
      <c r="G97" s="317">
        <f t="shared" si="28"/>
        <v>90.30731439117994</v>
      </c>
      <c r="H97" s="265">
        <f t="shared" si="24"/>
        <v>99.5186604590803</v>
      </c>
      <c r="I97" s="265">
        <v>111.65993703508809</v>
      </c>
      <c r="J97" s="265">
        <f t="shared" si="6"/>
        <v>120.48107206086004</v>
      </c>
      <c r="K97" s="152">
        <f t="shared" si="29"/>
        <v>0.079</v>
      </c>
      <c r="L97" s="265">
        <f t="shared" si="25"/>
        <v>129.999076753668</v>
      </c>
      <c r="M97" s="265">
        <f t="shared" si="26"/>
        <v>140.26900381720776</v>
      </c>
    </row>
    <row r="98" spans="1:13" ht="13.5">
      <c r="A98" s="54" t="s">
        <v>514</v>
      </c>
      <c r="B98" s="61">
        <v>56.10902</v>
      </c>
      <c r="C98" s="62">
        <f t="shared" si="27"/>
        <v>61.719922000000004</v>
      </c>
      <c r="D98" s="59">
        <f t="shared" si="22"/>
        <v>0.10000000000000005</v>
      </c>
      <c r="E98" s="23">
        <v>72.05677453656001</v>
      </c>
      <c r="F98" s="23">
        <f t="shared" si="23"/>
        <v>80.70358748094722</v>
      </c>
      <c r="G98" s="317">
        <f t="shared" si="28"/>
        <v>90.30731439117994</v>
      </c>
      <c r="H98" s="265">
        <f t="shared" si="24"/>
        <v>99.5186604590803</v>
      </c>
      <c r="I98" s="265">
        <v>111.65993703508809</v>
      </c>
      <c r="J98" s="265">
        <f t="shared" si="6"/>
        <v>120.48107206086004</v>
      </c>
      <c r="K98" s="152">
        <f t="shared" si="29"/>
        <v>0.079</v>
      </c>
      <c r="L98" s="265">
        <f t="shared" si="25"/>
        <v>129.999076753668</v>
      </c>
      <c r="M98" s="265">
        <f t="shared" si="26"/>
        <v>140.26900381720776</v>
      </c>
    </row>
    <row r="99" spans="1:13" ht="13.5">
      <c r="A99" s="54" t="s">
        <v>720</v>
      </c>
      <c r="B99" s="61">
        <v>54.64228</v>
      </c>
      <c r="C99" s="62">
        <f t="shared" si="27"/>
        <v>60.106508000000005</v>
      </c>
      <c r="D99" s="59">
        <f t="shared" si="22"/>
        <v>0.1000000000000001</v>
      </c>
      <c r="E99" s="23">
        <v>70.17314595984001</v>
      </c>
      <c r="F99" s="23">
        <f t="shared" si="23"/>
        <v>78.59392347502082</v>
      </c>
      <c r="G99" s="317">
        <f t="shared" si="28"/>
        <v>87.94660036854829</v>
      </c>
      <c r="H99" s="265">
        <f t="shared" si="24"/>
        <v>96.91715360614022</v>
      </c>
      <c r="I99" s="265">
        <v>108.74104634608932</v>
      </c>
      <c r="J99" s="265">
        <f t="shared" si="6"/>
        <v>117.33158900743038</v>
      </c>
      <c r="K99" s="152">
        <f t="shared" si="29"/>
        <v>0.079</v>
      </c>
      <c r="L99" s="265">
        <f t="shared" si="25"/>
        <v>126.60078453901738</v>
      </c>
      <c r="M99" s="265">
        <f t="shared" si="26"/>
        <v>136.60224651759975</v>
      </c>
    </row>
    <row r="100" spans="1:13" ht="13.5">
      <c r="A100" s="54" t="s">
        <v>721</v>
      </c>
      <c r="B100" s="61">
        <v>132.90156</v>
      </c>
      <c r="C100" s="62">
        <f t="shared" si="27"/>
        <v>146.191716</v>
      </c>
      <c r="D100" s="59">
        <f t="shared" si="22"/>
        <v>0.10000000000000019</v>
      </c>
      <c r="E100" s="23">
        <v>170.67590459568004</v>
      </c>
      <c r="F100" s="23">
        <f t="shared" si="23"/>
        <v>191.15701314716165</v>
      </c>
      <c r="G100" s="317">
        <f t="shared" si="28"/>
        <v>213.9046977116739</v>
      </c>
      <c r="H100" s="265">
        <f t="shared" si="24"/>
        <v>235.72297687826463</v>
      </c>
      <c r="I100" s="265">
        <v>264.4811800574129</v>
      </c>
      <c r="J100" s="265">
        <f t="shared" si="6"/>
        <v>285.37519328194855</v>
      </c>
      <c r="K100" s="152">
        <f t="shared" si="29"/>
        <v>0.079</v>
      </c>
      <c r="L100" s="265">
        <f t="shared" si="25"/>
        <v>307.9198335512225</v>
      </c>
      <c r="M100" s="265">
        <f t="shared" si="26"/>
        <v>332.24550040176905</v>
      </c>
    </row>
    <row r="101" spans="1:13" ht="13.5">
      <c r="A101" s="54" t="s">
        <v>722</v>
      </c>
      <c r="B101" s="61">
        <v>76.79254</v>
      </c>
      <c r="C101" s="62">
        <f t="shared" si="27"/>
        <v>84.471794</v>
      </c>
      <c r="D101" s="59">
        <f t="shared" si="22"/>
        <v>0.1</v>
      </c>
      <c r="E101" s="23">
        <v>98.61913005912001</v>
      </c>
      <c r="F101" s="23">
        <f t="shared" si="23"/>
        <v>110.45342566621443</v>
      </c>
      <c r="G101" s="317">
        <f t="shared" si="28"/>
        <v>123.59738332049395</v>
      </c>
      <c r="H101" s="265">
        <f t="shared" si="24"/>
        <v>136.20431641918432</v>
      </c>
      <c r="I101" s="265">
        <v>152.8212430223248</v>
      </c>
      <c r="J101" s="265">
        <f t="shared" si="6"/>
        <v>164.89412122108845</v>
      </c>
      <c r="K101" s="152">
        <f t="shared" si="29"/>
        <v>0.079</v>
      </c>
      <c r="L101" s="265">
        <f t="shared" si="25"/>
        <v>177.92075679755445</v>
      </c>
      <c r="M101" s="265">
        <f t="shared" si="26"/>
        <v>191.97649658456126</v>
      </c>
    </row>
    <row r="102" spans="1:13" ht="13.5">
      <c r="A102" s="54" t="s">
        <v>515</v>
      </c>
      <c r="B102" s="61">
        <v>76.79254</v>
      </c>
      <c r="C102" s="62">
        <f t="shared" si="27"/>
        <v>84.471794</v>
      </c>
      <c r="D102" s="59">
        <f t="shared" si="22"/>
        <v>0.1</v>
      </c>
      <c r="E102" s="23">
        <v>98.61913005912001</v>
      </c>
      <c r="F102" s="23">
        <f t="shared" si="23"/>
        <v>110.45342566621443</v>
      </c>
      <c r="G102" s="317">
        <f t="shared" si="28"/>
        <v>123.59738332049395</v>
      </c>
      <c r="H102" s="265">
        <f t="shared" si="24"/>
        <v>136.20431641918432</v>
      </c>
      <c r="I102" s="265">
        <v>152.8212430223248</v>
      </c>
      <c r="J102" s="265">
        <f t="shared" si="6"/>
        <v>164.89412122108845</v>
      </c>
      <c r="K102" s="152">
        <f t="shared" si="29"/>
        <v>0.079</v>
      </c>
      <c r="L102" s="265">
        <f t="shared" si="25"/>
        <v>177.92075679755445</v>
      </c>
      <c r="M102" s="265">
        <f t="shared" si="26"/>
        <v>191.97649658456126</v>
      </c>
    </row>
    <row r="103" spans="1:13" ht="13.5">
      <c r="A103" s="54" t="s">
        <v>516</v>
      </c>
      <c r="B103" s="61">
        <v>183.10633</v>
      </c>
      <c r="C103" s="62">
        <f t="shared" si="27"/>
        <v>201.41696300000004</v>
      </c>
      <c r="D103" s="59">
        <f t="shared" si="22"/>
        <v>0.10000000000000013</v>
      </c>
      <c r="E103" s="23">
        <v>235.15027596324003</v>
      </c>
      <c r="F103" s="23">
        <f t="shared" si="23"/>
        <v>263.3683090788289</v>
      </c>
      <c r="G103" s="317">
        <f t="shared" si="28"/>
        <v>294.70913785920953</v>
      </c>
      <c r="H103" s="265">
        <f t="shared" si="24"/>
        <v>324.7694699208489</v>
      </c>
      <c r="I103" s="265">
        <v>364.3913452511925</v>
      </c>
      <c r="J103" s="265">
        <f t="shared" si="6"/>
        <v>393.1782615260367</v>
      </c>
      <c r="K103" s="152">
        <f t="shared" si="29"/>
        <v>0.079</v>
      </c>
      <c r="L103" s="265">
        <f t="shared" si="25"/>
        <v>424.2393441865936</v>
      </c>
      <c r="M103" s="265">
        <f t="shared" si="26"/>
        <v>457.7542523773345</v>
      </c>
    </row>
    <row r="104" spans="1:13" ht="13.5">
      <c r="A104" s="54" t="s">
        <v>517</v>
      </c>
      <c r="B104" s="61">
        <v>76.79254</v>
      </c>
      <c r="C104" s="62">
        <f t="shared" si="27"/>
        <v>84.471794</v>
      </c>
      <c r="D104" s="59">
        <f t="shared" si="22"/>
        <v>0.1</v>
      </c>
      <c r="E104" s="23">
        <v>98.61913005912001</v>
      </c>
      <c r="F104" s="23">
        <f t="shared" si="23"/>
        <v>110.45342566621443</v>
      </c>
      <c r="G104" s="317">
        <f t="shared" si="28"/>
        <v>123.59738332049395</v>
      </c>
      <c r="H104" s="265">
        <f t="shared" si="24"/>
        <v>136.20431641918432</v>
      </c>
      <c r="I104" s="265">
        <v>152.8212430223248</v>
      </c>
      <c r="J104" s="265">
        <f t="shared" si="6"/>
        <v>164.89412122108845</v>
      </c>
      <c r="K104" s="152">
        <f t="shared" si="29"/>
        <v>0.079</v>
      </c>
      <c r="L104" s="265">
        <f t="shared" si="25"/>
        <v>177.92075679755445</v>
      </c>
      <c r="M104" s="265">
        <f t="shared" si="26"/>
        <v>191.97649658456126</v>
      </c>
    </row>
    <row r="105" spans="1:13" ht="13.5">
      <c r="A105" s="54" t="s">
        <v>723</v>
      </c>
      <c r="B105" s="61">
        <v>54.64228</v>
      </c>
      <c r="C105" s="62">
        <f t="shared" si="27"/>
        <v>60.106508000000005</v>
      </c>
      <c r="D105" s="59">
        <f t="shared" si="22"/>
        <v>0.1000000000000001</v>
      </c>
      <c r="E105" s="23">
        <v>70.17314595984001</v>
      </c>
      <c r="F105" s="23">
        <f t="shared" si="23"/>
        <v>78.59392347502082</v>
      </c>
      <c r="G105" s="317">
        <f t="shared" si="28"/>
        <v>87.94660036854829</v>
      </c>
      <c r="H105" s="265">
        <f t="shared" si="24"/>
        <v>96.91715360614022</v>
      </c>
      <c r="I105" s="265">
        <v>108.74104634608932</v>
      </c>
      <c r="J105" s="265">
        <f t="shared" si="6"/>
        <v>117.33158900743038</v>
      </c>
      <c r="K105" s="152">
        <f t="shared" si="29"/>
        <v>0.079</v>
      </c>
      <c r="L105" s="265">
        <f t="shared" si="25"/>
        <v>126.60078453901738</v>
      </c>
      <c r="M105" s="265">
        <f t="shared" si="26"/>
        <v>136.60224651759975</v>
      </c>
    </row>
    <row r="106" spans="1:13" ht="13.5">
      <c r="A106" s="54" t="s">
        <v>724</v>
      </c>
      <c r="B106" s="61">
        <v>34.70456</v>
      </c>
      <c r="C106" s="62">
        <f t="shared" si="27"/>
        <v>38.17501600000001</v>
      </c>
      <c r="D106" s="59">
        <f t="shared" si="22"/>
        <v>0.10000000000000016</v>
      </c>
      <c r="E106" s="23">
        <v>44.56856767968001</v>
      </c>
      <c r="F106" s="23">
        <f t="shared" si="23"/>
        <v>49.91679580124161</v>
      </c>
      <c r="G106" s="317">
        <f t="shared" si="28"/>
        <v>55.856894501589366</v>
      </c>
      <c r="H106" s="265">
        <f t="shared" si="24"/>
        <v>61.55429774075148</v>
      </c>
      <c r="I106" s="265">
        <v>69.06392206512317</v>
      </c>
      <c r="J106" s="265">
        <f aca="true" t="shared" si="30" ref="J106:J129">(I106*K106)+I106</f>
        <v>74.51997190826789</v>
      </c>
      <c r="K106" s="152">
        <f t="shared" si="29"/>
        <v>0.079</v>
      </c>
      <c r="L106" s="265">
        <f t="shared" si="25"/>
        <v>80.40704968902105</v>
      </c>
      <c r="M106" s="265">
        <f t="shared" si="26"/>
        <v>86.75920661445372</v>
      </c>
    </row>
    <row r="107" spans="1:13" ht="13.5">
      <c r="A107" s="54" t="s">
        <v>518</v>
      </c>
      <c r="B107" s="61">
        <v>76.79254</v>
      </c>
      <c r="C107" s="62">
        <f t="shared" si="27"/>
        <v>84.471794</v>
      </c>
      <c r="D107" s="59">
        <f t="shared" si="22"/>
        <v>0.1</v>
      </c>
      <c r="E107" s="23">
        <v>98.61913005912001</v>
      </c>
      <c r="F107" s="23">
        <f t="shared" si="23"/>
        <v>110.45342566621443</v>
      </c>
      <c r="G107" s="317">
        <f t="shared" si="28"/>
        <v>123.59738332049395</v>
      </c>
      <c r="H107" s="265">
        <f t="shared" si="24"/>
        <v>136.20431641918432</v>
      </c>
      <c r="I107" s="265">
        <v>152.8212430223248</v>
      </c>
      <c r="J107" s="265">
        <f t="shared" si="30"/>
        <v>164.89412122108845</v>
      </c>
      <c r="K107" s="152">
        <f t="shared" si="29"/>
        <v>0.079</v>
      </c>
      <c r="L107" s="265">
        <f t="shared" si="25"/>
        <v>177.92075679755445</v>
      </c>
      <c r="M107" s="265">
        <f t="shared" si="26"/>
        <v>191.97649658456126</v>
      </c>
    </row>
    <row r="108" spans="1:13" ht="13.5">
      <c r="A108" s="54" t="s">
        <v>725</v>
      </c>
      <c r="B108" s="61">
        <v>62.75907</v>
      </c>
      <c r="C108" s="62">
        <f t="shared" si="27"/>
        <v>69.03497700000001</v>
      </c>
      <c r="D108" s="59">
        <f t="shared" si="22"/>
        <v>0.10000000000000017</v>
      </c>
      <c r="E108" s="23">
        <v>80.59695494796001</v>
      </c>
      <c r="F108" s="23">
        <f t="shared" si="23"/>
        <v>90.26858954171523</v>
      </c>
      <c r="G108" s="317">
        <f t="shared" si="28"/>
        <v>101.01055169717934</v>
      </c>
      <c r="H108" s="265">
        <f t="shared" si="24"/>
        <v>111.31362797029163</v>
      </c>
      <c r="I108" s="265">
        <v>124.89389058266721</v>
      </c>
      <c r="J108" s="265">
        <f t="shared" si="30"/>
        <v>134.7605079386979</v>
      </c>
      <c r="K108" s="152">
        <f t="shared" si="29"/>
        <v>0.079</v>
      </c>
      <c r="L108" s="265">
        <f t="shared" si="25"/>
        <v>145.40658806585506</v>
      </c>
      <c r="M108" s="265">
        <f t="shared" si="26"/>
        <v>156.89370852305763</v>
      </c>
    </row>
    <row r="109" spans="1:13" ht="13.5">
      <c r="A109" s="54" t="s">
        <v>726</v>
      </c>
      <c r="B109" s="61">
        <v>101.88870999999999</v>
      </c>
      <c r="C109" s="62">
        <f t="shared" si="27"/>
        <v>112.077581</v>
      </c>
      <c r="D109" s="59">
        <f t="shared" si="22"/>
        <v>0.10000000000000007</v>
      </c>
      <c r="E109" s="23">
        <v>130.84833426588</v>
      </c>
      <c r="F109" s="23">
        <f t="shared" si="23"/>
        <v>146.5501343777856</v>
      </c>
      <c r="G109" s="317">
        <f t="shared" si="28"/>
        <v>163.9896003687421</v>
      </c>
      <c r="H109" s="265">
        <f t="shared" si="24"/>
        <v>180.7165396063538</v>
      </c>
      <c r="I109" s="265">
        <v>202.76395743832896</v>
      </c>
      <c r="J109" s="265">
        <f t="shared" si="30"/>
        <v>218.78231007595696</v>
      </c>
      <c r="K109" s="152">
        <f t="shared" si="29"/>
        <v>0.079</v>
      </c>
      <c r="L109" s="265">
        <f t="shared" si="25"/>
        <v>236.06611257195755</v>
      </c>
      <c r="M109" s="265">
        <f t="shared" si="26"/>
        <v>254.7153354651422</v>
      </c>
    </row>
    <row r="110" spans="1:13" ht="13.5">
      <c r="A110" s="54" t="s">
        <v>519</v>
      </c>
      <c r="B110" s="61">
        <v>56.10902</v>
      </c>
      <c r="C110" s="62">
        <f t="shared" si="27"/>
        <v>61.719922000000004</v>
      </c>
      <c r="D110" s="59">
        <f t="shared" si="22"/>
        <v>0.10000000000000005</v>
      </c>
      <c r="E110" s="23">
        <v>72.05677453656001</v>
      </c>
      <c r="F110" s="23">
        <f t="shared" si="23"/>
        <v>80.70358748094722</v>
      </c>
      <c r="G110" s="317">
        <f t="shared" si="28"/>
        <v>90.30731439117994</v>
      </c>
      <c r="H110" s="265">
        <f t="shared" si="24"/>
        <v>99.5186604590803</v>
      </c>
      <c r="I110" s="265">
        <v>111.65993703508809</v>
      </c>
      <c r="J110" s="265">
        <f t="shared" si="30"/>
        <v>120.48107206086004</v>
      </c>
      <c r="K110" s="152">
        <f t="shared" si="29"/>
        <v>0.079</v>
      </c>
      <c r="L110" s="265">
        <f t="shared" si="25"/>
        <v>129.999076753668</v>
      </c>
      <c r="M110" s="265">
        <f t="shared" si="26"/>
        <v>140.26900381720776</v>
      </c>
    </row>
    <row r="111" spans="1:13" ht="13.5">
      <c r="A111" s="54" t="s">
        <v>727</v>
      </c>
      <c r="B111" s="61">
        <v>13.287669999999999</v>
      </c>
      <c r="C111" s="62">
        <f t="shared" si="27"/>
        <v>14.616437</v>
      </c>
      <c r="D111" s="59">
        <f t="shared" si="22"/>
        <v>0.10000000000000007</v>
      </c>
      <c r="E111" s="23">
        <v>17.06439786876</v>
      </c>
      <c r="F111" s="23">
        <f t="shared" si="23"/>
        <v>19.1121256130112</v>
      </c>
      <c r="G111" s="317">
        <f t="shared" si="28"/>
        <v>21.386468560959536</v>
      </c>
      <c r="H111" s="265">
        <f t="shared" si="24"/>
        <v>23.56788835417741</v>
      </c>
      <c r="I111" s="265">
        <v>26.443170733387053</v>
      </c>
      <c r="J111" s="265">
        <f t="shared" si="30"/>
        <v>28.53218122132463</v>
      </c>
      <c r="K111" s="152">
        <f t="shared" si="29"/>
        <v>0.079</v>
      </c>
      <c r="L111" s="265">
        <f t="shared" si="25"/>
        <v>30.786223537809278</v>
      </c>
      <c r="M111" s="265">
        <f t="shared" si="26"/>
        <v>33.21833519729621</v>
      </c>
    </row>
    <row r="112" spans="1:13" ht="13.5">
      <c r="A112" s="54" t="s">
        <v>728</v>
      </c>
      <c r="B112" s="61">
        <v>13.287669999999999</v>
      </c>
      <c r="C112" s="62">
        <f t="shared" si="27"/>
        <v>14.616437</v>
      </c>
      <c r="D112" s="59">
        <f t="shared" si="22"/>
        <v>0.10000000000000007</v>
      </c>
      <c r="E112" s="23">
        <v>17.06439786876</v>
      </c>
      <c r="F112" s="23">
        <f t="shared" si="23"/>
        <v>19.1121256130112</v>
      </c>
      <c r="G112" s="317">
        <f t="shared" si="28"/>
        <v>21.386468560959536</v>
      </c>
      <c r="H112" s="265">
        <f t="shared" si="24"/>
        <v>23.56788835417741</v>
      </c>
      <c r="I112" s="265">
        <v>26.443170733387053</v>
      </c>
      <c r="J112" s="265">
        <f t="shared" si="30"/>
        <v>28.53218122132463</v>
      </c>
      <c r="K112" s="152">
        <f t="shared" si="29"/>
        <v>0.079</v>
      </c>
      <c r="L112" s="265">
        <f t="shared" si="25"/>
        <v>30.786223537809278</v>
      </c>
      <c r="M112" s="265">
        <f t="shared" si="26"/>
        <v>33.21833519729621</v>
      </c>
    </row>
    <row r="113" spans="1:13" ht="13.5">
      <c r="A113" s="54" t="s">
        <v>729</v>
      </c>
      <c r="B113" s="61">
        <v>76.79254</v>
      </c>
      <c r="C113" s="62">
        <f t="shared" si="27"/>
        <v>84.471794</v>
      </c>
      <c r="D113" s="59">
        <f t="shared" si="22"/>
        <v>0.1</v>
      </c>
      <c r="E113" s="23">
        <v>98.61913005912001</v>
      </c>
      <c r="F113" s="23">
        <f t="shared" si="23"/>
        <v>110.45342566621443</v>
      </c>
      <c r="G113" s="317">
        <f t="shared" si="28"/>
        <v>123.59738332049395</v>
      </c>
      <c r="H113" s="265">
        <f t="shared" si="24"/>
        <v>136.20431641918432</v>
      </c>
      <c r="I113" s="265">
        <v>152.8212430223248</v>
      </c>
      <c r="J113" s="265">
        <f t="shared" si="30"/>
        <v>164.89412122108845</v>
      </c>
      <c r="K113" s="152">
        <f t="shared" si="29"/>
        <v>0.079</v>
      </c>
      <c r="L113" s="265">
        <f t="shared" si="25"/>
        <v>177.92075679755445</v>
      </c>
      <c r="M113" s="265">
        <f t="shared" si="26"/>
        <v>191.97649658456126</v>
      </c>
    </row>
    <row r="114" spans="1:13" ht="13.5">
      <c r="A114" s="54" t="s">
        <v>520</v>
      </c>
      <c r="B114" s="61">
        <v>34.70456</v>
      </c>
      <c r="C114" s="62">
        <f t="shared" si="27"/>
        <v>38.17501600000001</v>
      </c>
      <c r="D114" s="59">
        <f t="shared" si="22"/>
        <v>0.10000000000000016</v>
      </c>
      <c r="E114" s="23">
        <v>44.56856767968001</v>
      </c>
      <c r="F114" s="23">
        <f t="shared" si="23"/>
        <v>49.91679580124161</v>
      </c>
      <c r="G114" s="317">
        <f t="shared" si="28"/>
        <v>55.856894501589366</v>
      </c>
      <c r="H114" s="265">
        <f t="shared" si="24"/>
        <v>61.55429774075148</v>
      </c>
      <c r="I114" s="265">
        <v>69.06392206512317</v>
      </c>
      <c r="J114" s="265">
        <f t="shared" si="30"/>
        <v>74.51997190826789</v>
      </c>
      <c r="K114" s="152">
        <f aca="true" t="shared" si="31" ref="K114:K129">$K$8</f>
        <v>0.079</v>
      </c>
      <c r="L114" s="265">
        <f t="shared" si="25"/>
        <v>80.40704968902105</v>
      </c>
      <c r="M114" s="265">
        <f t="shared" si="26"/>
        <v>86.75920661445372</v>
      </c>
    </row>
    <row r="115" spans="1:13" ht="13.5">
      <c r="A115" s="54" t="s">
        <v>521</v>
      </c>
      <c r="B115" s="61">
        <v>56.10902</v>
      </c>
      <c r="C115" s="62">
        <f t="shared" si="27"/>
        <v>61.719922000000004</v>
      </c>
      <c r="D115" s="59">
        <f t="shared" si="22"/>
        <v>0.10000000000000005</v>
      </c>
      <c r="E115" s="23">
        <v>72.05677453656001</v>
      </c>
      <c r="F115" s="23">
        <f t="shared" si="23"/>
        <v>80.70358748094722</v>
      </c>
      <c r="G115" s="317">
        <f t="shared" si="28"/>
        <v>90.30731439117994</v>
      </c>
      <c r="H115" s="265">
        <f t="shared" si="24"/>
        <v>99.5186604590803</v>
      </c>
      <c r="I115" s="265">
        <v>111.65993703508809</v>
      </c>
      <c r="J115" s="265">
        <f t="shared" si="30"/>
        <v>120.48107206086004</v>
      </c>
      <c r="K115" s="152">
        <f t="shared" si="31"/>
        <v>0.079</v>
      </c>
      <c r="L115" s="265">
        <f t="shared" si="25"/>
        <v>129.999076753668</v>
      </c>
      <c r="M115" s="265">
        <f t="shared" si="26"/>
        <v>140.26900381720776</v>
      </c>
    </row>
    <row r="116" spans="1:13" ht="13.5">
      <c r="A116" s="54" t="s">
        <v>730</v>
      </c>
      <c r="B116" s="61">
        <v>11.8085</v>
      </c>
      <c r="C116" s="62">
        <f t="shared" si="27"/>
        <v>12.989350000000002</v>
      </c>
      <c r="D116" s="59">
        <f t="shared" si="22"/>
        <v>0.1000000000000001</v>
      </c>
      <c r="E116" s="23">
        <v>15.164806338000002</v>
      </c>
      <c r="F116" s="23">
        <f t="shared" si="23"/>
        <v>16.984583098560005</v>
      </c>
      <c r="G116" s="317">
        <f t="shared" si="28"/>
        <v>19.005748487288646</v>
      </c>
      <c r="H116" s="265">
        <f t="shared" si="24"/>
        <v>20.944334832992087</v>
      </c>
      <c r="I116" s="265">
        <v>23.499543682617123</v>
      </c>
      <c r="J116" s="265">
        <f t="shared" si="30"/>
        <v>25.356007633543875</v>
      </c>
      <c r="K116" s="152">
        <f t="shared" si="31"/>
        <v>0.079</v>
      </c>
      <c r="L116" s="265">
        <f t="shared" si="25"/>
        <v>27.35913223659384</v>
      </c>
      <c r="M116" s="265">
        <f t="shared" si="26"/>
        <v>29.520503683284755</v>
      </c>
    </row>
    <row r="117" spans="1:13" ht="13.5">
      <c r="A117" s="54" t="s">
        <v>731</v>
      </c>
      <c r="B117" s="61">
        <v>59.06736</v>
      </c>
      <c r="C117" s="62">
        <f t="shared" si="27"/>
        <v>64.974096</v>
      </c>
      <c r="D117" s="59">
        <f t="shared" si="22"/>
        <v>0.10000000000000003</v>
      </c>
      <c r="E117" s="23">
        <v>75.85595759808001</v>
      </c>
      <c r="F117" s="23">
        <f t="shared" si="23"/>
        <v>84.95867250984962</v>
      </c>
      <c r="G117" s="317">
        <f t="shared" si="28"/>
        <v>95.06875453852173</v>
      </c>
      <c r="H117" s="265">
        <f t="shared" si="24"/>
        <v>104.76576750145095</v>
      </c>
      <c r="I117" s="265">
        <v>117.54719113662797</v>
      </c>
      <c r="J117" s="265">
        <f t="shared" si="30"/>
        <v>126.83341923642158</v>
      </c>
      <c r="K117" s="152">
        <f t="shared" si="31"/>
        <v>0.079</v>
      </c>
      <c r="L117" s="265">
        <f t="shared" si="25"/>
        <v>136.85325935609887</v>
      </c>
      <c r="M117" s="265">
        <f t="shared" si="26"/>
        <v>147.6646668452307</v>
      </c>
    </row>
    <row r="118" spans="1:13" ht="13.5">
      <c r="A118" s="54" t="s">
        <v>732</v>
      </c>
      <c r="B118" s="61">
        <v>64.23824</v>
      </c>
      <c r="C118" s="62">
        <f t="shared" si="27"/>
        <v>70.66206400000002</v>
      </c>
      <c r="D118" s="59">
        <f t="shared" si="22"/>
        <v>0.10000000000000016</v>
      </c>
      <c r="E118" s="23">
        <v>82.49654647872002</v>
      </c>
      <c r="F118" s="23">
        <f t="shared" si="23"/>
        <v>92.39613205616644</v>
      </c>
      <c r="G118" s="317">
        <f t="shared" si="28"/>
        <v>103.39127177085024</v>
      </c>
      <c r="H118" s="265">
        <f t="shared" si="24"/>
        <v>113.93718149147696</v>
      </c>
      <c r="I118" s="265">
        <v>127.83751763343716</v>
      </c>
      <c r="J118" s="265">
        <f t="shared" si="30"/>
        <v>137.9366815264787</v>
      </c>
      <c r="K118" s="152">
        <f t="shared" si="31"/>
        <v>0.079</v>
      </c>
      <c r="L118" s="265">
        <f t="shared" si="25"/>
        <v>148.83367936707052</v>
      </c>
      <c r="M118" s="265">
        <f t="shared" si="26"/>
        <v>160.59154003706908</v>
      </c>
    </row>
    <row r="119" spans="1:13" ht="13.5">
      <c r="A119" s="54" t="s">
        <v>733</v>
      </c>
      <c r="B119" s="61">
        <v>56.10902</v>
      </c>
      <c r="C119" s="62">
        <f t="shared" si="27"/>
        <v>61.719922000000004</v>
      </c>
      <c r="D119" s="59">
        <f t="shared" si="22"/>
        <v>0.10000000000000005</v>
      </c>
      <c r="E119" s="23">
        <v>72.05677453656001</v>
      </c>
      <c r="F119" s="23">
        <f t="shared" si="23"/>
        <v>80.70358748094722</v>
      </c>
      <c r="G119" s="317">
        <f t="shared" si="28"/>
        <v>90.30731439117994</v>
      </c>
      <c r="H119" s="265">
        <f t="shared" si="24"/>
        <v>99.5186604590803</v>
      </c>
      <c r="I119" s="265">
        <v>111.65993703508809</v>
      </c>
      <c r="J119" s="265">
        <f t="shared" si="30"/>
        <v>120.48107206086004</v>
      </c>
      <c r="K119" s="152">
        <f t="shared" si="31"/>
        <v>0.079</v>
      </c>
      <c r="L119" s="265">
        <f t="shared" si="25"/>
        <v>129.999076753668</v>
      </c>
      <c r="M119" s="265">
        <f t="shared" si="26"/>
        <v>140.26900381720776</v>
      </c>
    </row>
    <row r="120" spans="1:13" ht="13.5">
      <c r="A120" s="54" t="s">
        <v>734</v>
      </c>
      <c r="B120" s="61">
        <v>56.10902</v>
      </c>
      <c r="C120" s="62">
        <f t="shared" si="27"/>
        <v>61.719922000000004</v>
      </c>
      <c r="D120" s="59">
        <f t="shared" si="22"/>
        <v>0.10000000000000005</v>
      </c>
      <c r="E120" s="23">
        <v>72.05677453656001</v>
      </c>
      <c r="F120" s="23">
        <f t="shared" si="23"/>
        <v>80.70358748094722</v>
      </c>
      <c r="G120" s="317">
        <f t="shared" si="28"/>
        <v>90.30731439117994</v>
      </c>
      <c r="H120" s="265">
        <f t="shared" si="24"/>
        <v>99.5186604590803</v>
      </c>
      <c r="I120" s="265">
        <v>111.65993703508809</v>
      </c>
      <c r="J120" s="265">
        <f t="shared" si="30"/>
        <v>120.48107206086004</v>
      </c>
      <c r="K120" s="152">
        <f t="shared" si="31"/>
        <v>0.079</v>
      </c>
      <c r="L120" s="265">
        <f t="shared" si="25"/>
        <v>129.999076753668</v>
      </c>
      <c r="M120" s="265">
        <f t="shared" si="26"/>
        <v>140.26900381720776</v>
      </c>
    </row>
    <row r="121" spans="1:13" ht="13.5">
      <c r="A121" s="54" t="s">
        <v>735</v>
      </c>
      <c r="B121" s="61">
        <v>67.92994999999999</v>
      </c>
      <c r="C121" s="62">
        <f t="shared" si="27"/>
        <v>74.722945</v>
      </c>
      <c r="D121" s="59">
        <f t="shared" si="22"/>
        <v>0.10000000000000009</v>
      </c>
      <c r="E121" s="23">
        <v>87.2375438286</v>
      </c>
      <c r="F121" s="23">
        <f t="shared" si="23"/>
        <v>97.706049088032</v>
      </c>
      <c r="G121" s="317">
        <f t="shared" si="28"/>
        <v>109.33306892950782</v>
      </c>
      <c r="H121" s="265">
        <f t="shared" si="24"/>
        <v>120.48504196031762</v>
      </c>
      <c r="I121" s="265">
        <v>135.18421707947635</v>
      </c>
      <c r="J121" s="265">
        <f t="shared" si="30"/>
        <v>145.863770228755</v>
      </c>
      <c r="K121" s="152">
        <f t="shared" si="31"/>
        <v>0.079</v>
      </c>
      <c r="L121" s="265">
        <f t="shared" si="25"/>
        <v>157.38700807682665</v>
      </c>
      <c r="M121" s="265">
        <f t="shared" si="26"/>
        <v>169.82058171489595</v>
      </c>
    </row>
    <row r="122" spans="1:13" ht="13.5">
      <c r="A122" s="54" t="s">
        <v>736</v>
      </c>
      <c r="B122" s="61">
        <v>59.06736</v>
      </c>
      <c r="C122" s="62">
        <f t="shared" si="27"/>
        <v>64.974096</v>
      </c>
      <c r="D122" s="59">
        <f t="shared" si="22"/>
        <v>0.10000000000000003</v>
      </c>
      <c r="E122" s="23">
        <v>75.85595759808001</v>
      </c>
      <c r="F122" s="23">
        <f t="shared" si="23"/>
        <v>84.95867250984962</v>
      </c>
      <c r="G122" s="317">
        <f t="shared" si="28"/>
        <v>95.06875453852173</v>
      </c>
      <c r="H122" s="265">
        <f t="shared" si="24"/>
        <v>104.76576750145095</v>
      </c>
      <c r="I122" s="265">
        <v>117.54719113662797</v>
      </c>
      <c r="J122" s="265">
        <f t="shared" si="30"/>
        <v>126.83341923642158</v>
      </c>
      <c r="K122" s="152">
        <f t="shared" si="31"/>
        <v>0.079</v>
      </c>
      <c r="L122" s="265">
        <f t="shared" si="25"/>
        <v>136.85325935609887</v>
      </c>
      <c r="M122" s="265">
        <f t="shared" si="26"/>
        <v>147.6646668452307</v>
      </c>
    </row>
    <row r="123" spans="1:13" ht="13.5">
      <c r="A123" s="54" t="s">
        <v>522</v>
      </c>
      <c r="B123" s="61">
        <v>76.79254</v>
      </c>
      <c r="C123" s="62">
        <f t="shared" si="27"/>
        <v>84.471794</v>
      </c>
      <c r="D123" s="59">
        <f t="shared" si="22"/>
        <v>0.1</v>
      </c>
      <c r="E123" s="23">
        <v>98.61913005912001</v>
      </c>
      <c r="F123" s="23">
        <f t="shared" si="23"/>
        <v>110.45342566621443</v>
      </c>
      <c r="G123" s="317">
        <f t="shared" si="28"/>
        <v>123.59738332049395</v>
      </c>
      <c r="H123" s="265">
        <f t="shared" si="24"/>
        <v>136.20431641918432</v>
      </c>
      <c r="I123" s="265">
        <v>152.8212430223248</v>
      </c>
      <c r="J123" s="265">
        <f t="shared" si="30"/>
        <v>164.89412122108845</v>
      </c>
      <c r="K123" s="152">
        <f t="shared" si="31"/>
        <v>0.079</v>
      </c>
      <c r="L123" s="265">
        <f t="shared" si="25"/>
        <v>177.92075679755445</v>
      </c>
      <c r="M123" s="265">
        <f t="shared" si="26"/>
        <v>191.97649658456126</v>
      </c>
    </row>
    <row r="124" spans="1:13" ht="13.5">
      <c r="A124" s="54" t="s">
        <v>523</v>
      </c>
      <c r="B124" s="61">
        <v>76.79254</v>
      </c>
      <c r="C124" s="62">
        <f t="shared" si="27"/>
        <v>84.471794</v>
      </c>
      <c r="D124" s="59">
        <f t="shared" si="22"/>
        <v>0.1</v>
      </c>
      <c r="E124" s="23">
        <v>98.61913005912001</v>
      </c>
      <c r="F124" s="23">
        <f t="shared" si="23"/>
        <v>110.45342566621443</v>
      </c>
      <c r="G124" s="317">
        <f t="shared" si="28"/>
        <v>123.59738332049395</v>
      </c>
      <c r="H124" s="265">
        <f t="shared" si="24"/>
        <v>136.20431641918432</v>
      </c>
      <c r="I124" s="265">
        <v>152.8212430223248</v>
      </c>
      <c r="J124" s="265">
        <f t="shared" si="30"/>
        <v>164.89412122108845</v>
      </c>
      <c r="K124" s="152">
        <f t="shared" si="31"/>
        <v>0.079</v>
      </c>
      <c r="L124" s="265">
        <f t="shared" si="25"/>
        <v>177.92075679755445</v>
      </c>
      <c r="M124" s="265">
        <f t="shared" si="26"/>
        <v>191.97649658456126</v>
      </c>
    </row>
    <row r="125" spans="1:13" ht="13.5">
      <c r="A125" s="54" t="s">
        <v>737</v>
      </c>
      <c r="B125" s="61">
        <v>17.72518</v>
      </c>
      <c r="C125" s="62">
        <f t="shared" si="27"/>
        <v>19.497698000000003</v>
      </c>
      <c r="D125" s="59">
        <f t="shared" si="22"/>
        <v>0.10000000000000007</v>
      </c>
      <c r="E125" s="23">
        <v>22.763172461040007</v>
      </c>
      <c r="F125" s="23">
        <f t="shared" si="23"/>
        <v>25.494753156364812</v>
      </c>
      <c r="G125" s="317">
        <f t="shared" si="28"/>
        <v>28.528628781972223</v>
      </c>
      <c r="H125" s="265">
        <f t="shared" si="24"/>
        <v>31.43854891773339</v>
      </c>
      <c r="I125" s="265">
        <v>35.27405188569686</v>
      </c>
      <c r="J125" s="265">
        <f t="shared" si="30"/>
        <v>38.06070198466691</v>
      </c>
      <c r="K125" s="152">
        <f t="shared" si="31"/>
        <v>0.079</v>
      </c>
      <c r="L125" s="265">
        <f t="shared" si="25"/>
        <v>41.0674974414556</v>
      </c>
      <c r="M125" s="265">
        <f t="shared" si="26"/>
        <v>44.31182973933059</v>
      </c>
    </row>
    <row r="126" spans="1:13" ht="13.5">
      <c r="A126" s="54" t="s">
        <v>524</v>
      </c>
      <c r="B126" s="61">
        <v>13.300099999999999</v>
      </c>
      <c r="C126" s="62">
        <f t="shared" si="27"/>
        <v>14.63011</v>
      </c>
      <c r="D126" s="59">
        <f t="shared" si="22"/>
        <v>0.10000000000000012</v>
      </c>
      <c r="E126" s="23">
        <v>17.0803608228</v>
      </c>
      <c r="F126" s="23">
        <f t="shared" si="23"/>
        <v>19.130004121536</v>
      </c>
      <c r="G126" s="317">
        <f t="shared" si="28"/>
        <v>21.406474611998785</v>
      </c>
      <c r="H126" s="265">
        <f t="shared" si="24"/>
        <v>23.58993502242266</v>
      </c>
      <c r="I126" s="265">
        <v>26.467907095158225</v>
      </c>
      <c r="J126" s="265">
        <f t="shared" si="30"/>
        <v>28.558871755675725</v>
      </c>
      <c r="K126" s="152">
        <f t="shared" si="31"/>
        <v>0.079</v>
      </c>
      <c r="L126" s="265">
        <f t="shared" si="25"/>
        <v>30.81502262437411</v>
      </c>
      <c r="M126" s="265">
        <f t="shared" si="26"/>
        <v>33.249409411699666</v>
      </c>
    </row>
    <row r="127" spans="1:13" ht="13.5">
      <c r="A127" s="54" t="s">
        <v>525</v>
      </c>
      <c r="B127" s="61">
        <v>31.31117</v>
      </c>
      <c r="C127" s="62">
        <f t="shared" si="27"/>
        <v>34.442287</v>
      </c>
      <c r="D127" s="59">
        <f t="shared" si="22"/>
        <v>0.09999999999999999</v>
      </c>
      <c r="E127" s="23">
        <v>40.21068122676</v>
      </c>
      <c r="F127" s="23">
        <f t="shared" si="23"/>
        <v>45.03596297397121</v>
      </c>
      <c r="G127" s="317">
        <f t="shared" si="28"/>
        <v>50.39524256787378</v>
      </c>
      <c r="H127" s="265">
        <f t="shared" si="24"/>
        <v>55.53555730979691</v>
      </c>
      <c r="I127" s="265">
        <v>62.310895301592126</v>
      </c>
      <c r="J127" s="265">
        <f t="shared" si="30"/>
        <v>67.2334560304179</v>
      </c>
      <c r="K127" s="152">
        <f t="shared" si="31"/>
        <v>0.079</v>
      </c>
      <c r="L127" s="265">
        <f t="shared" si="25"/>
        <v>72.54489905682091</v>
      </c>
      <c r="M127" s="265">
        <f t="shared" si="26"/>
        <v>78.27594608230976</v>
      </c>
    </row>
    <row r="128" spans="1:13" ht="15" customHeight="1">
      <c r="A128" s="54" t="s">
        <v>526</v>
      </c>
      <c r="B128" s="61">
        <v>90.78872</v>
      </c>
      <c r="C128" s="62">
        <f t="shared" si="27"/>
        <v>99.867592</v>
      </c>
      <c r="D128" s="59">
        <f t="shared" si="22"/>
        <v>0.10000000000000005</v>
      </c>
      <c r="E128" s="23">
        <v>116.59341630816</v>
      </c>
      <c r="F128" s="23">
        <f t="shared" si="23"/>
        <v>130.5846262651392</v>
      </c>
      <c r="G128" s="317">
        <f t="shared" si="28"/>
        <v>146.12419679069077</v>
      </c>
      <c r="H128" s="265">
        <f t="shared" si="24"/>
        <v>161.02886486334123</v>
      </c>
      <c r="I128" s="265">
        <v>180.67438637666885</v>
      </c>
      <c r="J128" s="265">
        <f t="shared" si="30"/>
        <v>194.94766290042568</v>
      </c>
      <c r="K128" s="152">
        <f t="shared" si="31"/>
        <v>0.079</v>
      </c>
      <c r="L128" s="265">
        <f t="shared" si="25"/>
        <v>210.34852826955932</v>
      </c>
      <c r="M128" s="265">
        <f t="shared" si="26"/>
        <v>226.9660620028545</v>
      </c>
    </row>
    <row r="129" spans="1:13" ht="15.75" customHeight="1">
      <c r="A129" s="54" t="s">
        <v>527</v>
      </c>
      <c r="B129" s="61">
        <v>56.345189999999995</v>
      </c>
      <c r="C129" s="62">
        <f t="shared" si="27"/>
        <v>61.979709</v>
      </c>
      <c r="D129" s="59">
        <f t="shared" si="22"/>
        <v>0.10000000000000009</v>
      </c>
      <c r="E129" s="23">
        <v>72.36007066332</v>
      </c>
      <c r="F129" s="23">
        <f t="shared" si="23"/>
        <v>81.04327914291841</v>
      </c>
      <c r="G129" s="317">
        <f t="shared" si="28"/>
        <v>90.68742936092569</v>
      </c>
      <c r="H129" s="265">
        <f>(G129*$H$8)+G129</f>
        <v>99.9375471557401</v>
      </c>
      <c r="I129" s="265">
        <v>112.1299279087404</v>
      </c>
      <c r="J129" s="265">
        <f t="shared" si="30"/>
        <v>120.9881922135309</v>
      </c>
      <c r="K129" s="152">
        <f t="shared" si="31"/>
        <v>0.079</v>
      </c>
      <c r="L129" s="265">
        <f t="shared" si="25"/>
        <v>130.54625939839983</v>
      </c>
      <c r="M129" s="265">
        <f t="shared" si="26"/>
        <v>140.8594138908734</v>
      </c>
    </row>
    <row r="130" spans="2:12" ht="15.75" customHeight="1">
      <c r="B130" s="61"/>
      <c r="C130" s="62"/>
      <c r="D130" s="59"/>
      <c r="E130" s="23"/>
      <c r="F130" s="23"/>
      <c r="G130" s="317"/>
      <c r="H130" s="265"/>
      <c r="I130" s="265"/>
      <c r="J130" s="265"/>
      <c r="K130" s="152"/>
      <c r="L130" s="265"/>
    </row>
    <row r="131" spans="1:3" ht="68.25" customHeight="1">
      <c r="A131" s="538" t="s">
        <v>1230</v>
      </c>
      <c r="B131" s="61"/>
      <c r="C131" s="61"/>
    </row>
    <row r="132" spans="1:3" ht="57" customHeight="1">
      <c r="A132" s="538" t="s">
        <v>1226</v>
      </c>
      <c r="B132" s="61"/>
      <c r="C132" s="61"/>
    </row>
    <row r="133" spans="1:3" ht="23.25" customHeight="1">
      <c r="A133" s="538"/>
      <c r="B133" s="61"/>
      <c r="C133" s="61"/>
    </row>
    <row r="134" spans="1:13" s="5" customFormat="1" ht="32.25" customHeight="1">
      <c r="A134" s="703" t="s">
        <v>1170</v>
      </c>
      <c r="B134" s="2"/>
      <c r="C134" s="2"/>
      <c r="D134" s="2"/>
      <c r="E134" s="2"/>
      <c r="K134" s="357"/>
      <c r="L134" s="358"/>
      <c r="M134" s="358"/>
    </row>
    <row r="135" spans="11:13" s="5" customFormat="1" ht="13.5">
      <c r="K135" s="357"/>
      <c r="L135" s="256"/>
      <c r="M135" s="256"/>
    </row>
    <row r="136" spans="2:3" ht="14.25" customHeight="1">
      <c r="B136" s="53"/>
      <c r="C136" s="53"/>
    </row>
    <row r="137" spans="2:3" ht="15.75" customHeight="1">
      <c r="B137" s="53"/>
      <c r="C137" s="53"/>
    </row>
  </sheetData>
  <sheetProtection/>
  <mergeCells count="12">
    <mergeCell ref="A28:E28"/>
    <mergeCell ref="A29:E29"/>
    <mergeCell ref="A30:E30"/>
    <mergeCell ref="A31:E31"/>
    <mergeCell ref="A32:E32"/>
    <mergeCell ref="A33:E33"/>
    <mergeCell ref="A40:A41"/>
    <mergeCell ref="G1:L1"/>
    <mergeCell ref="A25:E25"/>
    <mergeCell ref="A26:E26"/>
    <mergeCell ref="A27:E27"/>
    <mergeCell ref="A34:E34"/>
  </mergeCells>
  <printOptions gridLines="1"/>
  <pageMargins left="0.7086614173228347" right="0.7086614173228347" top="0.7480314960629921" bottom="0.7480314960629921" header="0.31496062992125984" footer="0.31496062992125984"/>
  <pageSetup horizontalDpi="600" verticalDpi="600" orientation="landscape" paperSize="9" scale="44" r:id="rId1"/>
  <rowBreaks count="1" manualBreakCount="1">
    <brk id="64" max="12" man="1"/>
  </rowBreaks>
</worksheet>
</file>

<file path=xl/worksheets/sheet5.xml><?xml version="1.0" encoding="utf-8"?>
<worksheet xmlns="http://schemas.openxmlformats.org/spreadsheetml/2006/main" xmlns:r="http://schemas.openxmlformats.org/officeDocument/2006/relationships">
  <dimension ref="A1:AA46"/>
  <sheetViews>
    <sheetView zoomScale="90" zoomScaleNormal="90" zoomScalePageLayoutView="0" workbookViewId="0" topLeftCell="A1">
      <pane xSplit="6" ySplit="7" topLeftCell="S8" activePane="bottomRight" state="frozen"/>
      <selection pane="topLeft" activeCell="A1" sqref="A1"/>
      <selection pane="topRight" activeCell="G1" sqref="G1"/>
      <selection pane="bottomLeft" activeCell="A8" sqref="A8"/>
      <selection pane="bottomRight" activeCell="V26" sqref="V26"/>
    </sheetView>
  </sheetViews>
  <sheetFormatPr defaultColWidth="9.140625" defaultRowHeight="12.75"/>
  <cols>
    <col min="1" max="1" width="76.421875" style="20" customWidth="1"/>
    <col min="2" max="2" width="24.57421875" style="20" hidden="1" customWidth="1"/>
    <col min="3" max="3" width="23.140625" style="20" hidden="1" customWidth="1"/>
    <col min="4" max="4" width="16.421875" style="20" hidden="1" customWidth="1"/>
    <col min="5" max="5" width="11.57421875" style="20" hidden="1" customWidth="1"/>
    <col min="6" max="6" width="17.57421875" style="20" hidden="1" customWidth="1"/>
    <col min="7" max="8" width="24.421875" style="20" hidden="1" customWidth="1"/>
    <col min="9" max="10" width="13.8515625" style="20" hidden="1" customWidth="1"/>
    <col min="11" max="11" width="10.421875" style="20" hidden="1" customWidth="1"/>
    <col min="12" max="15" width="13.8515625" style="20" hidden="1" customWidth="1"/>
    <col min="16" max="16" width="16.57421875" style="20" hidden="1" customWidth="1"/>
    <col min="17" max="18" width="16.57421875" style="20" customWidth="1"/>
    <col min="19" max="19" width="13.8515625" style="20" customWidth="1"/>
    <col min="20" max="20" width="23.140625" style="20" customWidth="1"/>
    <col min="21" max="21" width="16.421875" style="20" customWidth="1"/>
    <col min="22" max="22" width="11.57421875" style="20" customWidth="1"/>
    <col min="23" max="23" width="22.00390625" style="20" customWidth="1"/>
    <col min="24" max="24" width="11.421875" style="20" customWidth="1"/>
    <col min="25" max="26" width="16.140625" style="20" customWidth="1"/>
    <col min="27" max="16384" width="9.140625" style="20" customWidth="1"/>
  </cols>
  <sheetData>
    <row r="1" spans="8:22" s="18" customFormat="1" ht="17.25">
      <c r="H1" s="39"/>
      <c r="Q1" s="975" t="s">
        <v>1083</v>
      </c>
      <c r="R1" s="975"/>
      <c r="S1" s="975"/>
      <c r="T1" s="975"/>
      <c r="U1" s="975"/>
      <c r="V1" s="975"/>
    </row>
    <row r="2" spans="1:8" s="18" customFormat="1" ht="17.25">
      <c r="A2" s="706" t="s">
        <v>20</v>
      </c>
      <c r="G2" s="40"/>
      <c r="H2" s="40"/>
    </row>
    <row r="3" s="41" customFormat="1" ht="15">
      <c r="A3" s="55" t="s">
        <v>1521</v>
      </c>
    </row>
    <row r="4" s="41" customFormat="1" ht="15"/>
    <row r="5" s="41" customFormat="1" ht="15">
      <c r="A5" s="55" t="s">
        <v>170</v>
      </c>
    </row>
    <row r="6" spans="1:23" s="41" customFormat="1" ht="21" customHeight="1">
      <c r="A6" s="42"/>
      <c r="B6" s="42"/>
      <c r="C6" s="42"/>
      <c r="D6" s="42"/>
      <c r="E6" s="42"/>
      <c r="F6" s="42"/>
      <c r="T6" s="42"/>
      <c r="U6" s="42"/>
      <c r="V6" s="42"/>
      <c r="W6" s="42"/>
    </row>
    <row r="7" spans="1:27" s="109" customFormat="1" ht="67.5" customHeight="1">
      <c r="A7" s="698" t="s">
        <v>311</v>
      </c>
      <c r="B7" s="10" t="s">
        <v>365</v>
      </c>
      <c r="C7" s="11" t="s">
        <v>358</v>
      </c>
      <c r="D7" s="11" t="s">
        <v>359</v>
      </c>
      <c r="E7" s="11" t="s">
        <v>360</v>
      </c>
      <c r="F7" s="11" t="s">
        <v>361</v>
      </c>
      <c r="G7" s="13" t="s">
        <v>370</v>
      </c>
      <c r="H7" s="13" t="s">
        <v>529</v>
      </c>
      <c r="I7" s="14" t="s">
        <v>372</v>
      </c>
      <c r="J7" s="13" t="s">
        <v>566</v>
      </c>
      <c r="K7" s="14" t="s">
        <v>372</v>
      </c>
      <c r="L7" s="13" t="s">
        <v>825</v>
      </c>
      <c r="M7" s="13" t="s">
        <v>921</v>
      </c>
      <c r="N7" s="14" t="s">
        <v>372</v>
      </c>
      <c r="O7" s="14" t="s">
        <v>965</v>
      </c>
      <c r="P7" s="664" t="s">
        <v>1281</v>
      </c>
      <c r="Q7" s="664" t="s">
        <v>1280</v>
      </c>
      <c r="R7" s="664" t="s">
        <v>1512</v>
      </c>
      <c r="S7" s="14" t="s">
        <v>372</v>
      </c>
      <c r="T7" s="362" t="s">
        <v>358</v>
      </c>
      <c r="U7" s="362" t="s">
        <v>359</v>
      </c>
      <c r="V7" s="362" t="s">
        <v>360</v>
      </c>
      <c r="W7" s="362" t="s">
        <v>361</v>
      </c>
      <c r="X7" s="54"/>
      <c r="Y7" s="660" t="s">
        <v>1513</v>
      </c>
      <c r="Z7" s="661" t="s">
        <v>1514</v>
      </c>
      <c r="AA7" s="54"/>
    </row>
    <row r="8" spans="1:26" s="22" customFormat="1" ht="13.5">
      <c r="A8" s="105" t="s">
        <v>419</v>
      </c>
      <c r="B8" s="609" t="s">
        <v>357</v>
      </c>
      <c r="C8" s="609" t="s">
        <v>362</v>
      </c>
      <c r="D8" s="609" t="s">
        <v>362</v>
      </c>
      <c r="E8" s="608"/>
      <c r="F8" s="608"/>
      <c r="G8" s="14"/>
      <c r="H8" s="14"/>
      <c r="I8" s="14" t="s">
        <v>371</v>
      </c>
      <c r="J8" s="14"/>
      <c r="K8" s="14" t="s">
        <v>371</v>
      </c>
      <c r="L8" s="14"/>
      <c r="M8" s="14"/>
      <c r="N8" s="14" t="s">
        <v>371</v>
      </c>
      <c r="O8" s="610" t="s">
        <v>366</v>
      </c>
      <c r="P8" s="610" t="s">
        <v>366</v>
      </c>
      <c r="Q8" s="610" t="s">
        <v>366</v>
      </c>
      <c r="R8" s="610" t="s">
        <v>366</v>
      </c>
      <c r="S8" s="611" t="s">
        <v>366</v>
      </c>
      <c r="T8" s="609" t="s">
        <v>362</v>
      </c>
      <c r="U8" s="609" t="s">
        <v>362</v>
      </c>
      <c r="V8" s="608"/>
      <c r="W8" s="608"/>
      <c r="X8" s="14"/>
      <c r="Y8" s="611" t="s">
        <v>366</v>
      </c>
      <c r="Z8" s="611" t="s">
        <v>366</v>
      </c>
    </row>
    <row r="9" spans="1:26" s="22" customFormat="1" ht="13.5">
      <c r="A9" s="608"/>
      <c r="B9" s="609"/>
      <c r="C9" s="609"/>
      <c r="D9" s="609"/>
      <c r="E9" s="608"/>
      <c r="F9" s="608"/>
      <c r="G9" s="14"/>
      <c r="H9" s="14"/>
      <c r="I9" s="14"/>
      <c r="J9" s="14"/>
      <c r="K9" s="14"/>
      <c r="L9" s="14"/>
      <c r="M9" s="14"/>
      <c r="N9" s="14"/>
      <c r="O9" s="610"/>
      <c r="P9" s="662">
        <v>0.06</v>
      </c>
      <c r="Q9" s="662">
        <v>0</v>
      </c>
      <c r="R9" s="663"/>
      <c r="S9" s="662">
        <v>0</v>
      </c>
      <c r="T9" s="609"/>
      <c r="U9" s="609"/>
      <c r="V9" s="608"/>
      <c r="W9" s="608"/>
      <c r="X9" s="14"/>
      <c r="Y9" s="662">
        <v>0.06</v>
      </c>
      <c r="Z9" s="662">
        <v>0.06</v>
      </c>
    </row>
    <row r="10" spans="1:26" ht="13.5">
      <c r="A10" s="54" t="s">
        <v>1261</v>
      </c>
      <c r="B10" s="612">
        <v>0.0156</v>
      </c>
      <c r="C10" s="612"/>
      <c r="D10" s="612"/>
      <c r="E10" s="612"/>
      <c r="F10" s="612"/>
      <c r="G10" s="54">
        <f>B10*1.1</f>
        <v>0.01716</v>
      </c>
      <c r="H10" s="615">
        <f>G10*1.12</f>
        <v>0.019219200000000002</v>
      </c>
      <c r="I10" s="59">
        <f>(H10-G10)/G10</f>
        <v>0.12000000000000002</v>
      </c>
      <c r="J10" s="615">
        <f>H10*1.1</f>
        <v>0.021141120000000003</v>
      </c>
      <c r="K10" s="59">
        <f>(J10-H10)/H10</f>
        <v>0.10000000000000002</v>
      </c>
      <c r="L10" s="615">
        <v>0.024430678272000007</v>
      </c>
      <c r="M10" s="615">
        <f>(L10*N10)+L10</f>
        <v>0.025896518968320008</v>
      </c>
      <c r="N10" s="616">
        <v>0.06</v>
      </c>
      <c r="O10" s="615">
        <v>0.027683378777134088</v>
      </c>
      <c r="P10" s="615">
        <f>(O10*$P$9)+O10</f>
        <v>0.029344381503762132</v>
      </c>
      <c r="Q10" s="615">
        <v>0.029344381503762132</v>
      </c>
      <c r="R10" s="615">
        <f>(Q10*S10)+Q10</f>
        <v>0.029344381503762132</v>
      </c>
      <c r="S10" s="617">
        <f aca="true" t="shared" si="0" ref="S10:S36">$S$9</f>
        <v>0</v>
      </c>
      <c r="T10" s="612"/>
      <c r="U10" s="612"/>
      <c r="V10" s="612"/>
      <c r="W10" s="612"/>
      <c r="X10" s="54"/>
      <c r="Y10" s="615">
        <f>(R10*$Y$9)+R10</f>
        <v>0.03110504439398786</v>
      </c>
      <c r="Z10" s="615">
        <f>(Y10*$Z$9)+Y10</f>
        <v>0.03297134705762713</v>
      </c>
    </row>
    <row r="11" spans="1:26" ht="13.5">
      <c r="A11" s="54" t="s">
        <v>282</v>
      </c>
      <c r="B11" s="612">
        <v>0.0078</v>
      </c>
      <c r="C11" s="613">
        <v>-15000</v>
      </c>
      <c r="D11" s="613">
        <v>-25000</v>
      </c>
      <c r="E11" s="614">
        <v>0.4</v>
      </c>
      <c r="F11" s="612"/>
      <c r="G11" s="54">
        <f aca="true" t="shared" si="1" ref="G11:G32">B11*1.1</f>
        <v>0.00858</v>
      </c>
      <c r="H11" s="615">
        <f aca="true" t="shared" si="2" ref="H11:H32">G11*1.12</f>
        <v>0.009609600000000001</v>
      </c>
      <c r="I11" s="59">
        <f aca="true" t="shared" si="3" ref="I11:I33">(H11-G11)/G11</f>
        <v>0.12000000000000002</v>
      </c>
      <c r="J11" s="615">
        <f aca="true" t="shared" si="4" ref="J11:J18">H11*1.1</f>
        <v>0.010570560000000001</v>
      </c>
      <c r="K11" s="59">
        <f aca="true" t="shared" si="5" ref="K11:K33">(J11-H11)/H11</f>
        <v>0.10000000000000002</v>
      </c>
      <c r="L11" s="615">
        <v>0.012215339136000003</v>
      </c>
      <c r="M11" s="615">
        <f aca="true" t="shared" si="6" ref="M11:M36">(L11*N11)+L11</f>
        <v>0.012948259484160004</v>
      </c>
      <c r="N11" s="616">
        <v>0.06</v>
      </c>
      <c r="O11" s="615">
        <v>0.013841689388567044</v>
      </c>
      <c r="P11" s="615">
        <f>(O11*$P$9)+O11</f>
        <v>0.014672190751881066</v>
      </c>
      <c r="Q11" s="615">
        <v>0.014672190751881066</v>
      </c>
      <c r="R11" s="615">
        <f aca="true" t="shared" si="7" ref="R11:R36">(Q11*S11)+Q11</f>
        <v>0.014672190751881066</v>
      </c>
      <c r="S11" s="617">
        <f t="shared" si="0"/>
        <v>0</v>
      </c>
      <c r="T11" s="613">
        <v>-15000</v>
      </c>
      <c r="U11" s="613">
        <v>-35000</v>
      </c>
      <c r="V11" s="614">
        <v>0.45</v>
      </c>
      <c r="W11" s="612"/>
      <c r="X11" s="54"/>
      <c r="Y11" s="615">
        <f aca="true" t="shared" si="8" ref="Y11:Y36">(R11*$Y$9)+R11</f>
        <v>0.01555252219699393</v>
      </c>
      <c r="Z11" s="615">
        <f aca="true" t="shared" si="9" ref="Z11:Z36">(Y11*$Z$9)+Y11</f>
        <v>0.016485673528813565</v>
      </c>
    </row>
    <row r="12" spans="1:26" ht="13.5">
      <c r="A12" s="54" t="s">
        <v>283</v>
      </c>
      <c r="B12" s="612">
        <v>0.0156</v>
      </c>
      <c r="C12" s="613"/>
      <c r="D12" s="613"/>
      <c r="E12" s="614"/>
      <c r="F12" s="618" t="s">
        <v>363</v>
      </c>
      <c r="G12" s="54">
        <f t="shared" si="1"/>
        <v>0.01716</v>
      </c>
      <c r="H12" s="615">
        <f t="shared" si="2"/>
        <v>0.019219200000000002</v>
      </c>
      <c r="I12" s="59">
        <f t="shared" si="3"/>
        <v>0.12000000000000002</v>
      </c>
      <c r="J12" s="615">
        <f t="shared" si="4"/>
        <v>0.021141120000000003</v>
      </c>
      <c r="K12" s="59">
        <f t="shared" si="5"/>
        <v>0.10000000000000002</v>
      </c>
      <c r="L12" s="615">
        <v>0.024430678272000007</v>
      </c>
      <c r="M12" s="615">
        <f t="shared" si="6"/>
        <v>0.025896518968320008</v>
      </c>
      <c r="N12" s="616">
        <v>0.06</v>
      </c>
      <c r="O12" s="615">
        <v>0.027683378777134088</v>
      </c>
      <c r="P12" s="615">
        <f>(O12*$P$9)+O12</f>
        <v>0.029344381503762132</v>
      </c>
      <c r="Q12" s="615">
        <v>0.029344381503762132</v>
      </c>
      <c r="R12" s="615">
        <f t="shared" si="7"/>
        <v>0.029344381503762132</v>
      </c>
      <c r="S12" s="617">
        <v>0</v>
      </c>
      <c r="T12" s="613"/>
      <c r="U12" s="613"/>
      <c r="V12" s="614"/>
      <c r="W12" s="618" t="s">
        <v>363</v>
      </c>
      <c r="X12" s="54"/>
      <c r="Y12" s="615">
        <f t="shared" si="8"/>
        <v>0.03110504439398786</v>
      </c>
      <c r="Z12" s="615">
        <f t="shared" si="9"/>
        <v>0.03297134705762713</v>
      </c>
    </row>
    <row r="13" spans="1:26" s="856" customFormat="1" ht="13.5">
      <c r="A13" s="438" t="s">
        <v>1397</v>
      </c>
      <c r="B13" s="857"/>
      <c r="C13" s="853"/>
      <c r="D13" s="853"/>
      <c r="E13" s="854"/>
      <c r="F13" s="855"/>
      <c r="G13" s="438"/>
      <c r="H13" s="858"/>
      <c r="I13" s="859"/>
      <c r="J13" s="858"/>
      <c r="K13" s="859"/>
      <c r="L13" s="858"/>
      <c r="M13" s="858"/>
      <c r="N13" s="860"/>
      <c r="O13" s="858"/>
      <c r="P13" s="861" t="s">
        <v>1398</v>
      </c>
      <c r="Q13" s="861" t="s">
        <v>1152</v>
      </c>
      <c r="R13" s="858">
        <v>0.03668</v>
      </c>
      <c r="S13" s="862"/>
      <c r="T13" s="853"/>
      <c r="U13" s="853"/>
      <c r="V13" s="854"/>
      <c r="W13" s="855"/>
      <c r="X13" s="438"/>
      <c r="Y13" s="858">
        <f t="shared" si="8"/>
        <v>0.0388808</v>
      </c>
      <c r="Z13" s="858">
        <f t="shared" si="9"/>
        <v>0.041213648</v>
      </c>
    </row>
    <row r="14" spans="1:26" s="856" customFormat="1" ht="13.5">
      <c r="A14" s="438" t="s">
        <v>1399</v>
      </c>
      <c r="B14" s="857"/>
      <c r="C14" s="853"/>
      <c r="D14" s="853"/>
      <c r="E14" s="854"/>
      <c r="F14" s="855"/>
      <c r="G14" s="438"/>
      <c r="H14" s="858"/>
      <c r="I14" s="859"/>
      <c r="J14" s="858"/>
      <c r="K14" s="859"/>
      <c r="L14" s="858"/>
      <c r="M14" s="858"/>
      <c r="N14" s="860"/>
      <c r="O14" s="858"/>
      <c r="P14" s="861" t="s">
        <v>1398</v>
      </c>
      <c r="Q14" s="861" t="s">
        <v>1152</v>
      </c>
      <c r="R14" s="858">
        <v>0.00367</v>
      </c>
      <c r="S14" s="862"/>
      <c r="T14" s="853"/>
      <c r="U14" s="853"/>
      <c r="V14" s="854"/>
      <c r="W14" s="855"/>
      <c r="X14" s="438"/>
      <c r="Y14" s="858">
        <f t="shared" si="8"/>
        <v>0.0038902</v>
      </c>
      <c r="Z14" s="858">
        <f t="shared" si="9"/>
        <v>0.004123612</v>
      </c>
    </row>
    <row r="15" spans="1:26" ht="13.5">
      <c r="A15" s="54" t="s">
        <v>967</v>
      </c>
      <c r="B15" s="612">
        <v>0.0312</v>
      </c>
      <c r="C15" s="613"/>
      <c r="D15" s="613"/>
      <c r="E15" s="614"/>
      <c r="F15" s="612"/>
      <c r="G15" s="54">
        <f t="shared" si="1"/>
        <v>0.03432</v>
      </c>
      <c r="H15" s="615">
        <f t="shared" si="2"/>
        <v>0.038438400000000005</v>
      </c>
      <c r="I15" s="59">
        <f t="shared" si="3"/>
        <v>0.12000000000000002</v>
      </c>
      <c r="J15" s="615">
        <f t="shared" si="4"/>
        <v>0.042282240000000006</v>
      </c>
      <c r="K15" s="59">
        <f t="shared" si="5"/>
        <v>0.10000000000000002</v>
      </c>
      <c r="L15" s="615">
        <v>0.04886135654400001</v>
      </c>
      <c r="M15" s="615">
        <f t="shared" si="6"/>
        <v>0.051793037936640016</v>
      </c>
      <c r="N15" s="619">
        <v>0.06</v>
      </c>
      <c r="O15" s="615">
        <v>0.055366757554268176</v>
      </c>
      <c r="P15" s="615">
        <f>(O15*$P$9)+O15</f>
        <v>0.058688763007524264</v>
      </c>
      <c r="Q15" s="615">
        <v>0.058688763007524264</v>
      </c>
      <c r="R15" s="615">
        <f t="shared" si="7"/>
        <v>0.058688763007524264</v>
      </c>
      <c r="S15" s="617">
        <f t="shared" si="0"/>
        <v>0</v>
      </c>
      <c r="T15" s="613"/>
      <c r="U15" s="613"/>
      <c r="V15" s="614"/>
      <c r="W15" s="612"/>
      <c r="X15" s="54"/>
      <c r="Y15" s="615">
        <f t="shared" si="8"/>
        <v>0.06221008878797572</v>
      </c>
      <c r="Z15" s="615">
        <f t="shared" si="9"/>
        <v>0.06594269411525426</v>
      </c>
    </row>
    <row r="16" spans="1:26" s="239" customFormat="1" ht="13.5" hidden="1">
      <c r="A16" s="622" t="s">
        <v>508</v>
      </c>
      <c r="B16" s="620">
        <v>0.0312</v>
      </c>
      <c r="C16" s="621">
        <v>-15000</v>
      </c>
      <c r="D16" s="621">
        <v>0</v>
      </c>
      <c r="E16" s="621">
        <v>0</v>
      </c>
      <c r="F16" s="621">
        <v>0</v>
      </c>
      <c r="G16" s="622">
        <f t="shared" si="1"/>
        <v>0.03432</v>
      </c>
      <c r="H16" s="623">
        <f t="shared" si="2"/>
        <v>0.038438400000000005</v>
      </c>
      <c r="I16" s="624">
        <f t="shared" si="3"/>
        <v>0.12000000000000002</v>
      </c>
      <c r="J16" s="623">
        <f t="shared" si="4"/>
        <v>0.042282240000000006</v>
      </c>
      <c r="K16" s="624">
        <f t="shared" si="5"/>
        <v>0.10000000000000002</v>
      </c>
      <c r="L16" s="623">
        <v>0.04886135654400001</v>
      </c>
      <c r="M16" s="623">
        <f t="shared" si="6"/>
        <v>0.051793037936640016</v>
      </c>
      <c r="N16" s="625">
        <v>0.06</v>
      </c>
      <c r="O16" s="623">
        <v>0</v>
      </c>
      <c r="P16" s="623" t="e">
        <f>(O16*$S$8)+O16</f>
        <v>#VALUE!</v>
      </c>
      <c r="Q16" s="615">
        <v>0</v>
      </c>
      <c r="R16" s="615">
        <f t="shared" si="7"/>
        <v>0</v>
      </c>
      <c r="S16" s="617">
        <f t="shared" si="0"/>
        <v>0</v>
      </c>
      <c r="T16" s="621">
        <v>0</v>
      </c>
      <c r="U16" s="613">
        <v>0</v>
      </c>
      <c r="V16" s="613">
        <v>0</v>
      </c>
      <c r="W16" s="621">
        <v>0</v>
      </c>
      <c r="X16" s="622"/>
      <c r="Y16" s="615">
        <f t="shared" si="8"/>
        <v>0</v>
      </c>
      <c r="Z16" s="615">
        <f t="shared" si="9"/>
        <v>0</v>
      </c>
    </row>
    <row r="17" spans="1:26" ht="13.5">
      <c r="A17" s="54" t="s">
        <v>284</v>
      </c>
      <c r="B17" s="612">
        <v>0.0156</v>
      </c>
      <c r="C17" s="613"/>
      <c r="D17" s="613"/>
      <c r="E17" s="614"/>
      <c r="F17" s="612"/>
      <c r="G17" s="54">
        <f t="shared" si="1"/>
        <v>0.01716</v>
      </c>
      <c r="H17" s="615">
        <f t="shared" si="2"/>
        <v>0.019219200000000002</v>
      </c>
      <c r="I17" s="59">
        <f t="shared" si="3"/>
        <v>0.12000000000000002</v>
      </c>
      <c r="J17" s="615">
        <f t="shared" si="4"/>
        <v>0.021141120000000003</v>
      </c>
      <c r="K17" s="59">
        <f t="shared" si="5"/>
        <v>0.10000000000000002</v>
      </c>
      <c r="L17" s="615">
        <v>0.024430678272000007</v>
      </c>
      <c r="M17" s="615">
        <f t="shared" si="6"/>
        <v>0.025896518968320008</v>
      </c>
      <c r="N17" s="616">
        <v>0.06</v>
      </c>
      <c r="O17" s="615">
        <v>0.027683378777134088</v>
      </c>
      <c r="P17" s="615">
        <f>(O17*$P$9)+O17</f>
        <v>0.029344381503762132</v>
      </c>
      <c r="Q17" s="615">
        <v>0.029344381503762132</v>
      </c>
      <c r="R17" s="615">
        <f t="shared" si="7"/>
        <v>0.029344381503762132</v>
      </c>
      <c r="S17" s="617">
        <f t="shared" si="0"/>
        <v>0</v>
      </c>
      <c r="T17" s="613"/>
      <c r="U17" s="613"/>
      <c r="V17" s="614"/>
      <c r="W17" s="612"/>
      <c r="X17" s="54"/>
      <c r="Y17" s="615">
        <f t="shared" si="8"/>
        <v>0.03110504439398786</v>
      </c>
      <c r="Z17" s="615">
        <f t="shared" si="9"/>
        <v>0.03297134705762713</v>
      </c>
    </row>
    <row r="18" spans="1:26" ht="13.5">
      <c r="A18" s="54" t="s">
        <v>346</v>
      </c>
      <c r="B18" s="612">
        <v>0.0156</v>
      </c>
      <c r="C18" s="613"/>
      <c r="D18" s="613"/>
      <c r="E18" s="614"/>
      <c r="F18" s="612"/>
      <c r="G18" s="54">
        <f t="shared" si="1"/>
        <v>0.01716</v>
      </c>
      <c r="H18" s="615">
        <f t="shared" si="2"/>
        <v>0.019219200000000002</v>
      </c>
      <c r="I18" s="59">
        <f t="shared" si="3"/>
        <v>0.12000000000000002</v>
      </c>
      <c r="J18" s="615">
        <f t="shared" si="4"/>
        <v>0.021141120000000003</v>
      </c>
      <c r="K18" s="59">
        <f t="shared" si="5"/>
        <v>0.10000000000000002</v>
      </c>
      <c r="L18" s="615">
        <v>0.024430678272000007</v>
      </c>
      <c r="M18" s="615">
        <f t="shared" si="6"/>
        <v>0.025896518968320008</v>
      </c>
      <c r="N18" s="616">
        <v>0.06</v>
      </c>
      <c r="O18" s="615">
        <v>0.027683378777134088</v>
      </c>
      <c r="P18" s="615">
        <f>(O18*$P$9)+O18</f>
        <v>0.029344381503762132</v>
      </c>
      <c r="Q18" s="615">
        <v>0.029344381503762132</v>
      </c>
      <c r="R18" s="615">
        <f t="shared" si="7"/>
        <v>0.029344381503762132</v>
      </c>
      <c r="S18" s="617">
        <f t="shared" si="0"/>
        <v>0</v>
      </c>
      <c r="T18" s="613"/>
      <c r="U18" s="613"/>
      <c r="V18" s="614"/>
      <c r="W18" s="612"/>
      <c r="X18" s="54"/>
      <c r="Y18" s="615">
        <f t="shared" si="8"/>
        <v>0.03110504439398786</v>
      </c>
      <c r="Z18" s="615">
        <f t="shared" si="9"/>
        <v>0.03297134705762713</v>
      </c>
    </row>
    <row r="19" spans="1:26" ht="13.5">
      <c r="A19" s="54" t="s">
        <v>347</v>
      </c>
      <c r="B19" s="612">
        <v>0.0078</v>
      </c>
      <c r="C19" s="613">
        <v>-15000</v>
      </c>
      <c r="D19" s="613">
        <v>-25000</v>
      </c>
      <c r="E19" s="614">
        <v>0.4</v>
      </c>
      <c r="F19" s="612"/>
      <c r="G19" s="54">
        <f t="shared" si="1"/>
        <v>0.00858</v>
      </c>
      <c r="H19" s="615">
        <f t="shared" si="2"/>
        <v>0.009609600000000001</v>
      </c>
      <c r="I19" s="59">
        <f t="shared" si="3"/>
        <v>0.12000000000000002</v>
      </c>
      <c r="J19" s="615">
        <f>H19*1.1</f>
        <v>0.010570560000000001</v>
      </c>
      <c r="K19" s="59">
        <f t="shared" si="5"/>
        <v>0.10000000000000002</v>
      </c>
      <c r="L19" s="615">
        <v>0.012215339136000003</v>
      </c>
      <c r="M19" s="615">
        <f t="shared" si="6"/>
        <v>0.012948259484160004</v>
      </c>
      <c r="N19" s="616">
        <v>0.06</v>
      </c>
      <c r="O19" s="615">
        <v>0.013841689388567044</v>
      </c>
      <c r="P19" s="615">
        <f>(O19*$P$9)+O19</f>
        <v>0.014672190751881066</v>
      </c>
      <c r="Q19" s="615">
        <v>0.014672190751881066</v>
      </c>
      <c r="R19" s="615">
        <f t="shared" si="7"/>
        <v>0.014672190751881066</v>
      </c>
      <c r="S19" s="617">
        <f t="shared" si="0"/>
        <v>0</v>
      </c>
      <c r="T19" s="613">
        <v>-15000</v>
      </c>
      <c r="U19" s="613">
        <v>-35000</v>
      </c>
      <c r="V19" s="614">
        <v>0.45</v>
      </c>
      <c r="W19" s="612"/>
      <c r="X19" s="54"/>
      <c r="Y19" s="615">
        <f t="shared" si="8"/>
        <v>0.01555252219699393</v>
      </c>
      <c r="Z19" s="615">
        <f t="shared" si="9"/>
        <v>0.016485673528813565</v>
      </c>
    </row>
    <row r="20" spans="1:26" s="239" customFormat="1" ht="13.5" hidden="1">
      <c r="A20" s="622" t="s">
        <v>348</v>
      </c>
      <c r="B20" s="620">
        <v>0.0156</v>
      </c>
      <c r="C20" s="621"/>
      <c r="D20" s="621"/>
      <c r="E20" s="626"/>
      <c r="F20" s="620"/>
      <c r="G20" s="622">
        <f t="shared" si="1"/>
        <v>0.01716</v>
      </c>
      <c r="H20" s="623">
        <v>0.009609600000000001</v>
      </c>
      <c r="I20" s="624">
        <f t="shared" si="3"/>
        <v>-0.44</v>
      </c>
      <c r="J20" s="623">
        <f>H20*1.1</f>
        <v>0.010570560000000001</v>
      </c>
      <c r="K20" s="624">
        <f t="shared" si="5"/>
        <v>0.10000000000000002</v>
      </c>
      <c r="L20" s="623">
        <v>0.012215339136000003</v>
      </c>
      <c r="M20" s="623">
        <f t="shared" si="6"/>
        <v>0.012948259484160004</v>
      </c>
      <c r="N20" s="627">
        <v>0.06</v>
      </c>
      <c r="O20" s="623">
        <v>0</v>
      </c>
      <c r="P20" s="623" t="e">
        <f>(O20*$S$8)+O20</f>
        <v>#VALUE!</v>
      </c>
      <c r="Q20" s="615">
        <v>0</v>
      </c>
      <c r="R20" s="615">
        <f t="shared" si="7"/>
        <v>0</v>
      </c>
      <c r="S20" s="617">
        <f t="shared" si="0"/>
        <v>0</v>
      </c>
      <c r="T20" s="621"/>
      <c r="U20" s="613"/>
      <c r="V20" s="614">
        <v>0</v>
      </c>
      <c r="W20" s="620"/>
      <c r="X20" s="622"/>
      <c r="Y20" s="615">
        <f t="shared" si="8"/>
        <v>0</v>
      </c>
      <c r="Z20" s="615">
        <f t="shared" si="9"/>
        <v>0</v>
      </c>
    </row>
    <row r="21" spans="1:26" s="239" customFormat="1" ht="13.5" hidden="1">
      <c r="A21" s="622" t="s">
        <v>349</v>
      </c>
      <c r="B21" s="620">
        <v>0.0156</v>
      </c>
      <c r="C21" s="621"/>
      <c r="D21" s="621"/>
      <c r="E21" s="626"/>
      <c r="F21" s="620"/>
      <c r="G21" s="622">
        <f t="shared" si="1"/>
        <v>0.01716</v>
      </c>
      <c r="H21" s="623">
        <f t="shared" si="2"/>
        <v>0.019219200000000002</v>
      </c>
      <c r="I21" s="624">
        <f t="shared" si="3"/>
        <v>0.12000000000000002</v>
      </c>
      <c r="J21" s="623">
        <f>H21*1.1</f>
        <v>0.021141120000000003</v>
      </c>
      <c r="K21" s="624">
        <f t="shared" si="5"/>
        <v>0.10000000000000002</v>
      </c>
      <c r="L21" s="623">
        <v>0.024430678272000007</v>
      </c>
      <c r="M21" s="623">
        <f t="shared" si="6"/>
        <v>0.025896518968320008</v>
      </c>
      <c r="N21" s="627">
        <v>0.06</v>
      </c>
      <c r="O21" s="623">
        <v>0</v>
      </c>
      <c r="P21" s="623" t="e">
        <f>(O21*$S$8)+O21</f>
        <v>#VALUE!</v>
      </c>
      <c r="Q21" s="615">
        <v>0</v>
      </c>
      <c r="R21" s="615">
        <f t="shared" si="7"/>
        <v>0</v>
      </c>
      <c r="S21" s="617">
        <f t="shared" si="0"/>
        <v>0</v>
      </c>
      <c r="T21" s="621"/>
      <c r="U21" s="613"/>
      <c r="V21" s="614"/>
      <c r="W21" s="620"/>
      <c r="X21" s="622"/>
      <c r="Y21" s="615">
        <f t="shared" si="8"/>
        <v>0</v>
      </c>
      <c r="Z21" s="615">
        <f t="shared" si="9"/>
        <v>0</v>
      </c>
    </row>
    <row r="22" spans="1:26" s="239" customFormat="1" ht="13.5" hidden="1">
      <c r="A22" s="622" t="s">
        <v>350</v>
      </c>
      <c r="B22" s="620">
        <v>0.0078</v>
      </c>
      <c r="C22" s="621">
        <v>-15000</v>
      </c>
      <c r="D22" s="621">
        <v>-25000</v>
      </c>
      <c r="E22" s="626">
        <v>0.4</v>
      </c>
      <c r="F22" s="620"/>
      <c r="G22" s="622">
        <f t="shared" si="1"/>
        <v>0.00858</v>
      </c>
      <c r="H22" s="623">
        <f t="shared" si="2"/>
        <v>0.009609600000000001</v>
      </c>
      <c r="I22" s="624">
        <f t="shared" si="3"/>
        <v>0.12000000000000002</v>
      </c>
      <c r="J22" s="623">
        <f aca="true" t="shared" si="10" ref="J22:J27">H22*1.1</f>
        <v>0.010570560000000001</v>
      </c>
      <c r="K22" s="624">
        <f t="shared" si="5"/>
        <v>0.10000000000000002</v>
      </c>
      <c r="L22" s="623">
        <v>0.012215339136000003</v>
      </c>
      <c r="M22" s="623">
        <f t="shared" si="6"/>
        <v>0.012948259484160004</v>
      </c>
      <c r="N22" s="627">
        <v>0.06</v>
      </c>
      <c r="O22" s="623">
        <v>0</v>
      </c>
      <c r="P22" s="623" t="e">
        <f>(O22*$S$8)+O22</f>
        <v>#VALUE!</v>
      </c>
      <c r="Q22" s="615">
        <v>0</v>
      </c>
      <c r="R22" s="615">
        <f t="shared" si="7"/>
        <v>0</v>
      </c>
      <c r="S22" s="617">
        <f t="shared" si="0"/>
        <v>0</v>
      </c>
      <c r="T22" s="621">
        <v>0</v>
      </c>
      <c r="U22" s="613">
        <v>0</v>
      </c>
      <c r="V22" s="614">
        <v>0</v>
      </c>
      <c r="W22" s="620"/>
      <c r="X22" s="622"/>
      <c r="Y22" s="615">
        <f t="shared" si="8"/>
        <v>0</v>
      </c>
      <c r="Z22" s="615">
        <f t="shared" si="9"/>
        <v>0</v>
      </c>
    </row>
    <row r="23" spans="1:26" s="239" customFormat="1" ht="13.5" hidden="1">
      <c r="A23" s="622" t="s">
        <v>351</v>
      </c>
      <c r="B23" s="620">
        <v>0.0156</v>
      </c>
      <c r="C23" s="621"/>
      <c r="D23" s="621"/>
      <c r="E23" s="626"/>
      <c r="F23" s="620"/>
      <c r="G23" s="622">
        <f t="shared" si="1"/>
        <v>0.01716</v>
      </c>
      <c r="H23" s="623">
        <f t="shared" si="2"/>
        <v>0.019219200000000002</v>
      </c>
      <c r="I23" s="624">
        <f t="shared" si="3"/>
        <v>0.12000000000000002</v>
      </c>
      <c r="J23" s="623">
        <f t="shared" si="10"/>
        <v>0.021141120000000003</v>
      </c>
      <c r="K23" s="624">
        <f t="shared" si="5"/>
        <v>0.10000000000000002</v>
      </c>
      <c r="L23" s="623">
        <v>0.024430678272000007</v>
      </c>
      <c r="M23" s="623">
        <f t="shared" si="6"/>
        <v>0.025896518968320008</v>
      </c>
      <c r="N23" s="627">
        <v>0.06</v>
      </c>
      <c r="O23" s="623">
        <v>0</v>
      </c>
      <c r="P23" s="623" t="e">
        <f>(O23*$S$8)+O23</f>
        <v>#VALUE!</v>
      </c>
      <c r="Q23" s="615">
        <v>0</v>
      </c>
      <c r="R23" s="615">
        <f t="shared" si="7"/>
        <v>0</v>
      </c>
      <c r="S23" s="617">
        <f t="shared" si="0"/>
        <v>0</v>
      </c>
      <c r="T23" s="621"/>
      <c r="U23" s="613"/>
      <c r="V23" s="614"/>
      <c r="W23" s="620"/>
      <c r="X23" s="622"/>
      <c r="Y23" s="615">
        <f t="shared" si="8"/>
        <v>0</v>
      </c>
      <c r="Z23" s="615">
        <f t="shared" si="9"/>
        <v>0</v>
      </c>
    </row>
    <row r="24" spans="1:26" ht="13.5">
      <c r="A24" s="54" t="s">
        <v>352</v>
      </c>
      <c r="B24" s="612">
        <v>0.0156</v>
      </c>
      <c r="C24" s="613"/>
      <c r="D24" s="613"/>
      <c r="E24" s="614"/>
      <c r="F24" s="612"/>
      <c r="G24" s="54">
        <f t="shared" si="1"/>
        <v>0.01716</v>
      </c>
      <c r="H24" s="615">
        <f t="shared" si="2"/>
        <v>0.019219200000000002</v>
      </c>
      <c r="I24" s="59">
        <f t="shared" si="3"/>
        <v>0.12000000000000002</v>
      </c>
      <c r="J24" s="615">
        <f t="shared" si="10"/>
        <v>0.021141120000000003</v>
      </c>
      <c r="K24" s="59">
        <f t="shared" si="5"/>
        <v>0.10000000000000002</v>
      </c>
      <c r="L24" s="615">
        <v>0.024430678272000007</v>
      </c>
      <c r="M24" s="615">
        <f t="shared" si="6"/>
        <v>0.025896518968320008</v>
      </c>
      <c r="N24" s="616">
        <v>0.06</v>
      </c>
      <c r="O24" s="615">
        <v>0.027683378777134088</v>
      </c>
      <c r="P24" s="615">
        <f>(O24*$P$9)+O24</f>
        <v>0.029344381503762132</v>
      </c>
      <c r="Q24" s="615">
        <v>0.029344381503762132</v>
      </c>
      <c r="R24" s="615">
        <f t="shared" si="7"/>
        <v>0.029344381503762132</v>
      </c>
      <c r="S24" s="617">
        <f t="shared" si="0"/>
        <v>0</v>
      </c>
      <c r="T24" s="613"/>
      <c r="U24" s="613"/>
      <c r="V24" s="614"/>
      <c r="W24" s="612"/>
      <c r="X24" s="54"/>
      <c r="Y24" s="615">
        <f t="shared" si="8"/>
        <v>0.03110504439398786</v>
      </c>
      <c r="Z24" s="615">
        <f t="shared" si="9"/>
        <v>0.03297134705762713</v>
      </c>
    </row>
    <row r="25" spans="1:26" ht="13.5">
      <c r="A25" s="54" t="s">
        <v>353</v>
      </c>
      <c r="B25" s="612">
        <v>0.002</v>
      </c>
      <c r="C25" s="613"/>
      <c r="D25" s="613"/>
      <c r="E25" s="614"/>
      <c r="F25" s="612"/>
      <c r="G25" s="54">
        <v>0.0022</v>
      </c>
      <c r="H25" s="615">
        <f t="shared" si="2"/>
        <v>0.0024640000000000005</v>
      </c>
      <c r="I25" s="59">
        <f t="shared" si="3"/>
        <v>0.12000000000000015</v>
      </c>
      <c r="J25" s="615">
        <f t="shared" si="10"/>
        <v>0.002710400000000001</v>
      </c>
      <c r="K25" s="59">
        <f t="shared" si="5"/>
        <v>0.10000000000000012</v>
      </c>
      <c r="L25" s="615">
        <v>0.0031321382400000012</v>
      </c>
      <c r="M25" s="615">
        <f t="shared" si="6"/>
        <v>0.0033200665344000012</v>
      </c>
      <c r="N25" s="619">
        <v>0.06</v>
      </c>
      <c r="O25" s="615">
        <v>0.013841689388567044</v>
      </c>
      <c r="P25" s="615">
        <v>0.003667</v>
      </c>
      <c r="Q25" s="615">
        <v>0.003667</v>
      </c>
      <c r="R25" s="615">
        <f t="shared" si="7"/>
        <v>0.003667</v>
      </c>
      <c r="S25" s="617">
        <f t="shared" si="0"/>
        <v>0</v>
      </c>
      <c r="T25" s="613"/>
      <c r="U25" s="613"/>
      <c r="V25" s="614"/>
      <c r="W25" s="612"/>
      <c r="X25" s="54" t="s">
        <v>1054</v>
      </c>
      <c r="Y25" s="615">
        <f t="shared" si="8"/>
        <v>0.00388702</v>
      </c>
      <c r="Z25" s="615">
        <f t="shared" si="9"/>
        <v>0.0041202412</v>
      </c>
    </row>
    <row r="26" spans="1:26" s="257" customFormat="1" ht="13.5">
      <c r="A26" s="631" t="s">
        <v>509</v>
      </c>
      <c r="B26" s="628">
        <v>0.0078</v>
      </c>
      <c r="C26" s="629">
        <v>-15000</v>
      </c>
      <c r="D26" s="629">
        <v>-25000</v>
      </c>
      <c r="E26" s="630">
        <v>0.4</v>
      </c>
      <c r="F26" s="628"/>
      <c r="G26" s="631">
        <f t="shared" si="1"/>
        <v>0.00858</v>
      </c>
      <c r="H26" s="632">
        <f t="shared" si="2"/>
        <v>0.009609600000000001</v>
      </c>
      <c r="I26" s="633">
        <f t="shared" si="3"/>
        <v>0.12000000000000002</v>
      </c>
      <c r="J26" s="632">
        <f t="shared" si="10"/>
        <v>0.010570560000000001</v>
      </c>
      <c r="K26" s="633">
        <f t="shared" si="5"/>
        <v>0.10000000000000002</v>
      </c>
      <c r="L26" s="632">
        <v>0.012215339136000003</v>
      </c>
      <c r="M26" s="632">
        <f t="shared" si="6"/>
        <v>0.012948259484160004</v>
      </c>
      <c r="N26" s="634">
        <v>0.06</v>
      </c>
      <c r="O26" s="632">
        <v>0.013841689388567044</v>
      </c>
      <c r="P26" s="632">
        <f>(O26*$P$9)+O26</f>
        <v>0.014672190751881066</v>
      </c>
      <c r="Q26" s="615">
        <v>0.014672190751881066</v>
      </c>
      <c r="R26" s="615">
        <f t="shared" si="7"/>
        <v>0.014672190751881066</v>
      </c>
      <c r="S26" s="617">
        <f t="shared" si="0"/>
        <v>0</v>
      </c>
      <c r="T26" s="629">
        <v>-15000</v>
      </c>
      <c r="U26" s="613">
        <v>-35000</v>
      </c>
      <c r="V26" s="614">
        <v>0.45</v>
      </c>
      <c r="W26" s="628"/>
      <c r="X26" s="631"/>
      <c r="Y26" s="615">
        <f t="shared" si="8"/>
        <v>0.01555252219699393</v>
      </c>
      <c r="Z26" s="615">
        <f t="shared" si="9"/>
        <v>0.016485673528813565</v>
      </c>
    </row>
    <row r="27" spans="1:26" s="239" customFormat="1" ht="13.5" hidden="1">
      <c r="A27" s="622" t="s">
        <v>291</v>
      </c>
      <c r="B27" s="620">
        <v>0.0156</v>
      </c>
      <c r="C27" s="621"/>
      <c r="D27" s="621"/>
      <c r="E27" s="626"/>
      <c r="F27" s="620"/>
      <c r="G27" s="622">
        <f t="shared" si="1"/>
        <v>0.01716</v>
      </c>
      <c r="H27" s="623">
        <f t="shared" si="2"/>
        <v>0.019219200000000002</v>
      </c>
      <c r="I27" s="624">
        <f t="shared" si="3"/>
        <v>0.12000000000000002</v>
      </c>
      <c r="J27" s="623">
        <f t="shared" si="10"/>
        <v>0.021141120000000003</v>
      </c>
      <c r="K27" s="624">
        <f t="shared" si="5"/>
        <v>0.10000000000000002</v>
      </c>
      <c r="L27" s="623">
        <v>0.024430678272000007</v>
      </c>
      <c r="M27" s="623">
        <f t="shared" si="6"/>
        <v>0.025896518968320008</v>
      </c>
      <c r="N27" s="627">
        <v>0.06</v>
      </c>
      <c r="O27" s="623">
        <v>0</v>
      </c>
      <c r="P27" s="623" t="e">
        <f>(O27*$S$8)+O27</f>
        <v>#VALUE!</v>
      </c>
      <c r="Q27" s="615">
        <v>0</v>
      </c>
      <c r="R27" s="615">
        <f t="shared" si="7"/>
        <v>0</v>
      </c>
      <c r="S27" s="617">
        <f t="shared" si="0"/>
        <v>0</v>
      </c>
      <c r="T27" s="621"/>
      <c r="U27" s="613"/>
      <c r="V27" s="614"/>
      <c r="W27" s="620"/>
      <c r="X27" s="622"/>
      <c r="Y27" s="239">
        <f t="shared" si="8"/>
        <v>0</v>
      </c>
      <c r="Z27" s="239">
        <f t="shared" si="9"/>
        <v>0</v>
      </c>
    </row>
    <row r="28" spans="1:26" s="239" customFormat="1" ht="13.5" hidden="1">
      <c r="A28" s="622" t="s">
        <v>285</v>
      </c>
      <c r="B28" s="620">
        <v>0.0156</v>
      </c>
      <c r="C28" s="621"/>
      <c r="D28" s="621"/>
      <c r="E28" s="626"/>
      <c r="F28" s="620" t="s">
        <v>363</v>
      </c>
      <c r="G28" s="622">
        <f t="shared" si="1"/>
        <v>0.01716</v>
      </c>
      <c r="H28" s="623">
        <v>0.009609600000000001</v>
      </c>
      <c r="I28" s="624">
        <f t="shared" si="3"/>
        <v>-0.44</v>
      </c>
      <c r="J28" s="623">
        <f>H28*1.1</f>
        <v>0.010570560000000001</v>
      </c>
      <c r="K28" s="624">
        <f t="shared" si="5"/>
        <v>0.10000000000000002</v>
      </c>
      <c r="L28" s="623">
        <v>0.012215339136000003</v>
      </c>
      <c r="M28" s="623">
        <f t="shared" si="6"/>
        <v>0.012948259484160004</v>
      </c>
      <c r="N28" s="627">
        <v>0.06</v>
      </c>
      <c r="O28" s="623">
        <v>0</v>
      </c>
      <c r="P28" s="623" t="e">
        <f>(O28*$S$8)+O28</f>
        <v>#VALUE!</v>
      </c>
      <c r="Q28" s="615">
        <v>0</v>
      </c>
      <c r="R28" s="615">
        <f t="shared" si="7"/>
        <v>0</v>
      </c>
      <c r="S28" s="617">
        <f t="shared" si="0"/>
        <v>0</v>
      </c>
      <c r="T28" s="621"/>
      <c r="U28" s="613"/>
      <c r="V28" s="614">
        <v>0</v>
      </c>
      <c r="W28" s="620"/>
      <c r="X28" s="622"/>
      <c r="Y28" s="239">
        <f t="shared" si="8"/>
        <v>0</v>
      </c>
      <c r="Z28" s="239">
        <f t="shared" si="9"/>
        <v>0</v>
      </c>
    </row>
    <row r="29" spans="1:26" ht="13.5">
      <c r="A29" s="54" t="s">
        <v>1259</v>
      </c>
      <c r="B29" s="612"/>
      <c r="C29" s="613"/>
      <c r="D29" s="613"/>
      <c r="E29" s="614"/>
      <c r="F29" s="612"/>
      <c r="G29" s="54"/>
      <c r="H29" s="615"/>
      <c r="I29" s="59"/>
      <c r="J29" s="615"/>
      <c r="K29" s="59"/>
      <c r="L29" s="615"/>
      <c r="M29" s="615"/>
      <c r="N29" s="616"/>
      <c r="O29" s="615"/>
      <c r="P29" s="615">
        <v>0.01467</v>
      </c>
      <c r="Q29" s="615">
        <v>0.01467</v>
      </c>
      <c r="R29" s="615">
        <f t="shared" si="7"/>
        <v>0.01467</v>
      </c>
      <c r="S29" s="617">
        <f t="shared" si="0"/>
        <v>0</v>
      </c>
      <c r="T29" s="613" t="s">
        <v>1260</v>
      </c>
      <c r="U29" s="613"/>
      <c r="V29" s="614"/>
      <c r="W29" s="612"/>
      <c r="X29" s="54"/>
      <c r="Y29" s="615">
        <f t="shared" si="8"/>
        <v>0.0155502</v>
      </c>
      <c r="Z29" s="615">
        <f t="shared" si="9"/>
        <v>0.016483212</v>
      </c>
    </row>
    <row r="30" spans="1:26" ht="13.5">
      <c r="A30" s="54" t="s">
        <v>1185</v>
      </c>
      <c r="B30" s="612">
        <v>0.0156</v>
      </c>
      <c r="C30" s="613"/>
      <c r="D30" s="613"/>
      <c r="E30" s="614"/>
      <c r="F30" s="612" t="s">
        <v>363</v>
      </c>
      <c r="G30" s="54">
        <v>0.0022</v>
      </c>
      <c r="H30" s="615">
        <v>0.009609600000000001</v>
      </c>
      <c r="I30" s="59">
        <f t="shared" si="3"/>
        <v>3.368</v>
      </c>
      <c r="J30" s="615">
        <f>H30*1.1</f>
        <v>0.010570560000000001</v>
      </c>
      <c r="K30" s="59">
        <f t="shared" si="5"/>
        <v>0.10000000000000002</v>
      </c>
      <c r="L30" s="615">
        <v>0.012215339136000003</v>
      </c>
      <c r="M30" s="615">
        <f t="shared" si="6"/>
        <v>0.012948259484160004</v>
      </c>
      <c r="N30" s="619">
        <v>0.06</v>
      </c>
      <c r="O30" s="615">
        <v>0.013841689388567044</v>
      </c>
      <c r="P30" s="615">
        <v>0.003667</v>
      </c>
      <c r="Q30" s="615">
        <v>0.003667</v>
      </c>
      <c r="R30" s="615">
        <f t="shared" si="7"/>
        <v>0.003667</v>
      </c>
      <c r="S30" s="617">
        <f t="shared" si="0"/>
        <v>0</v>
      </c>
      <c r="T30" s="613"/>
      <c r="U30" s="613"/>
      <c r="V30" s="614"/>
      <c r="W30" s="612"/>
      <c r="X30" s="54" t="s">
        <v>1054</v>
      </c>
      <c r="Y30" s="615">
        <f t="shared" si="8"/>
        <v>0.00388702</v>
      </c>
      <c r="Z30" s="615">
        <f t="shared" si="9"/>
        <v>0.0041202412</v>
      </c>
    </row>
    <row r="31" spans="1:26" ht="13.5">
      <c r="A31" s="54" t="s">
        <v>354</v>
      </c>
      <c r="B31" s="612">
        <v>0.0078</v>
      </c>
      <c r="C31" s="613">
        <v>-15000</v>
      </c>
      <c r="D31" s="613">
        <v>-25000</v>
      </c>
      <c r="E31" s="614">
        <v>0.4</v>
      </c>
      <c r="F31" s="612" t="s">
        <v>363</v>
      </c>
      <c r="G31" s="54">
        <f t="shared" si="1"/>
        <v>0.00858</v>
      </c>
      <c r="H31" s="615">
        <f t="shared" si="2"/>
        <v>0.009609600000000001</v>
      </c>
      <c r="I31" s="59">
        <f t="shared" si="3"/>
        <v>0.12000000000000002</v>
      </c>
      <c r="J31" s="615">
        <f>H31*1.1</f>
        <v>0.010570560000000001</v>
      </c>
      <c r="K31" s="59">
        <f t="shared" si="5"/>
        <v>0.10000000000000002</v>
      </c>
      <c r="L31" s="615">
        <v>0.012215339136000003</v>
      </c>
      <c r="M31" s="615">
        <f t="shared" si="6"/>
        <v>0.012948259484160004</v>
      </c>
      <c r="N31" s="616">
        <v>0.06</v>
      </c>
      <c r="O31" s="615">
        <v>0.013841689388567044</v>
      </c>
      <c r="P31" s="615">
        <f>(O31*$P$9)+O31</f>
        <v>0.014672190751881066</v>
      </c>
      <c r="Q31" s="615">
        <v>0.014672190751881066</v>
      </c>
      <c r="R31" s="615">
        <f t="shared" si="7"/>
        <v>0.014672190751881066</v>
      </c>
      <c r="S31" s="617">
        <v>0</v>
      </c>
      <c r="T31" s="613">
        <v>-15000</v>
      </c>
      <c r="U31" s="613">
        <v>-35000</v>
      </c>
      <c r="V31" s="614">
        <v>0.45</v>
      </c>
      <c r="W31" s="612" t="s">
        <v>363</v>
      </c>
      <c r="X31" s="54"/>
      <c r="Y31" s="615">
        <f t="shared" si="8"/>
        <v>0.01555252219699393</v>
      </c>
      <c r="Z31" s="615">
        <f t="shared" si="9"/>
        <v>0.016485673528813565</v>
      </c>
    </row>
    <row r="32" spans="1:26" ht="13.5">
      <c r="A32" s="54" t="s">
        <v>355</v>
      </c>
      <c r="B32" s="612">
        <v>0.0078</v>
      </c>
      <c r="C32" s="613">
        <v>-15000</v>
      </c>
      <c r="D32" s="613">
        <v>-25000</v>
      </c>
      <c r="E32" s="614">
        <v>0.4</v>
      </c>
      <c r="F32" s="614">
        <v>0.4</v>
      </c>
      <c r="G32" s="54">
        <f t="shared" si="1"/>
        <v>0.00858</v>
      </c>
      <c r="H32" s="615">
        <f t="shared" si="2"/>
        <v>0.009609600000000001</v>
      </c>
      <c r="I32" s="59">
        <f t="shared" si="3"/>
        <v>0.12000000000000002</v>
      </c>
      <c r="J32" s="615">
        <f>H32*1.1</f>
        <v>0.010570560000000001</v>
      </c>
      <c r="K32" s="59">
        <f t="shared" si="5"/>
        <v>0.10000000000000002</v>
      </c>
      <c r="L32" s="615">
        <v>0.012215339136000003</v>
      </c>
      <c r="M32" s="615">
        <f t="shared" si="6"/>
        <v>0.012948259484160004</v>
      </c>
      <c r="N32" s="616">
        <v>0.06</v>
      </c>
      <c r="O32" s="615">
        <v>0.013841689388567044</v>
      </c>
      <c r="P32" s="615">
        <f>(O32*$P$9)+O32</f>
        <v>0.014672190751881066</v>
      </c>
      <c r="Q32" s="615">
        <v>0.014672190751881066</v>
      </c>
      <c r="R32" s="615">
        <f t="shared" si="7"/>
        <v>0.014672190751881066</v>
      </c>
      <c r="S32" s="617">
        <f t="shared" si="0"/>
        <v>0</v>
      </c>
      <c r="T32" s="613">
        <v>-15000</v>
      </c>
      <c r="U32" s="613">
        <v>-35000</v>
      </c>
      <c r="V32" s="614">
        <v>0.45</v>
      </c>
      <c r="W32" s="614">
        <v>0.45</v>
      </c>
      <c r="X32" s="54"/>
      <c r="Y32" s="615">
        <f t="shared" si="8"/>
        <v>0.01555252219699393</v>
      </c>
      <c r="Z32" s="615">
        <f t="shared" si="9"/>
        <v>0.016485673528813565</v>
      </c>
    </row>
    <row r="33" spans="1:26" ht="13.5">
      <c r="A33" s="54" t="s">
        <v>356</v>
      </c>
      <c r="B33" s="612">
        <v>0.0156</v>
      </c>
      <c r="C33" s="612"/>
      <c r="D33" s="612"/>
      <c r="E33" s="612"/>
      <c r="F33" s="612" t="s">
        <v>363</v>
      </c>
      <c r="G33" s="54">
        <v>0.0022</v>
      </c>
      <c r="H33" s="615">
        <v>0.009609600000000001</v>
      </c>
      <c r="I33" s="59">
        <f t="shared" si="3"/>
        <v>3.368</v>
      </c>
      <c r="J33" s="615">
        <f>H33*1.1</f>
        <v>0.010570560000000001</v>
      </c>
      <c r="K33" s="59">
        <f t="shared" si="5"/>
        <v>0.10000000000000002</v>
      </c>
      <c r="L33" s="615">
        <v>0.012215339136000003</v>
      </c>
      <c r="M33" s="615">
        <f t="shared" si="6"/>
        <v>0.012948259484160004</v>
      </c>
      <c r="N33" s="619">
        <v>0.06</v>
      </c>
      <c r="O33" s="615">
        <v>0.013841689388567044</v>
      </c>
      <c r="P33" s="615">
        <v>0.003667</v>
      </c>
      <c r="Q33" s="615">
        <v>0.003667</v>
      </c>
      <c r="R33" s="615">
        <f t="shared" si="7"/>
        <v>0.003667</v>
      </c>
      <c r="S33" s="617">
        <f t="shared" si="0"/>
        <v>0</v>
      </c>
      <c r="T33" s="612"/>
      <c r="U33" s="612"/>
      <c r="V33" s="614"/>
      <c r="W33" s="612"/>
      <c r="X33" s="54" t="s">
        <v>1054</v>
      </c>
      <c r="Y33" s="615">
        <f t="shared" si="8"/>
        <v>0.00388702</v>
      </c>
      <c r="Z33" s="615">
        <f t="shared" si="9"/>
        <v>0.0041202412</v>
      </c>
    </row>
    <row r="34" spans="1:26" s="239" customFormat="1" ht="13.5" hidden="1">
      <c r="A34" s="622" t="s">
        <v>804</v>
      </c>
      <c r="B34" s="620"/>
      <c r="C34" s="620"/>
      <c r="D34" s="620"/>
      <c r="E34" s="620"/>
      <c r="F34" s="620"/>
      <c r="G34" s="622"/>
      <c r="H34" s="622"/>
      <c r="I34" s="622"/>
      <c r="J34" s="622">
        <v>0.01076</v>
      </c>
      <c r="K34" s="622"/>
      <c r="L34" s="623">
        <v>0.012434256000000001</v>
      </c>
      <c r="M34" s="623">
        <f t="shared" si="6"/>
        <v>0.01318031136</v>
      </c>
      <c r="N34" s="627">
        <v>0.06</v>
      </c>
      <c r="O34" s="623">
        <v>0</v>
      </c>
      <c r="P34" s="623" t="e">
        <f>(O34*$S$8)+O34</f>
        <v>#VALUE!</v>
      </c>
      <c r="Q34" s="615">
        <v>0</v>
      </c>
      <c r="R34" s="615">
        <f t="shared" si="7"/>
        <v>0</v>
      </c>
      <c r="S34" s="617">
        <f t="shared" si="0"/>
        <v>0</v>
      </c>
      <c r="T34" s="620"/>
      <c r="U34" s="612"/>
      <c r="V34" s="612"/>
      <c r="W34" s="620"/>
      <c r="X34" s="622"/>
      <c r="Y34" s="615">
        <f t="shared" si="8"/>
        <v>0</v>
      </c>
      <c r="Z34" s="615">
        <f t="shared" si="9"/>
        <v>0</v>
      </c>
    </row>
    <row r="35" spans="1:26" ht="13.5">
      <c r="A35" s="54" t="s">
        <v>803</v>
      </c>
      <c r="B35" s="54"/>
      <c r="C35" s="54"/>
      <c r="D35" s="54"/>
      <c r="E35" s="54"/>
      <c r="F35" s="54"/>
      <c r="G35" s="54"/>
      <c r="H35" s="54"/>
      <c r="I35" s="54"/>
      <c r="J35" s="54">
        <v>0.01076</v>
      </c>
      <c r="K35" s="54"/>
      <c r="L35" s="615">
        <v>0.012434256000000001</v>
      </c>
      <c r="M35" s="615">
        <f t="shared" si="6"/>
        <v>0.01318031136</v>
      </c>
      <c r="N35" s="616">
        <v>0.06</v>
      </c>
      <c r="O35" s="615">
        <v>0.01408975284384</v>
      </c>
      <c r="P35" s="615">
        <f>(O35*$P$9)+O35</f>
        <v>0.0149351380144704</v>
      </c>
      <c r="Q35" s="615">
        <v>0.0149351380144704</v>
      </c>
      <c r="R35" s="615">
        <f t="shared" si="7"/>
        <v>0.0149351380144704</v>
      </c>
      <c r="S35" s="617">
        <f t="shared" si="0"/>
        <v>0</v>
      </c>
      <c r="T35" s="54"/>
      <c r="U35" s="54"/>
      <c r="V35" s="59">
        <v>0.75</v>
      </c>
      <c r="W35" s="54"/>
      <c r="X35" s="54"/>
      <c r="Y35" s="615">
        <f t="shared" si="8"/>
        <v>0.015831246295338622</v>
      </c>
      <c r="Z35" s="615">
        <f t="shared" si="9"/>
        <v>0.01678112107305894</v>
      </c>
    </row>
    <row r="36" spans="1:26" ht="13.5">
      <c r="A36" s="54" t="s">
        <v>656</v>
      </c>
      <c r="B36" s="54"/>
      <c r="C36" s="54"/>
      <c r="D36" s="54"/>
      <c r="E36" s="54"/>
      <c r="F36" s="54"/>
      <c r="G36" s="54"/>
      <c r="H36" s="54"/>
      <c r="I36" s="54"/>
      <c r="J36" s="54">
        <v>0.0193648</v>
      </c>
      <c r="K36" s="54"/>
      <c r="L36" s="615">
        <v>0.022377962880000005</v>
      </c>
      <c r="M36" s="615">
        <f t="shared" si="6"/>
        <v>0.023720640652800006</v>
      </c>
      <c r="N36" s="616">
        <v>0.06</v>
      </c>
      <c r="O36" s="615">
        <v>0.025357364857843206</v>
      </c>
      <c r="P36" s="615">
        <f>(O36*$P$9)+O36</f>
        <v>0.0268788067493138</v>
      </c>
      <c r="Q36" s="615">
        <v>0.0268788067493138</v>
      </c>
      <c r="R36" s="615">
        <f t="shared" si="7"/>
        <v>0.0268788067493138</v>
      </c>
      <c r="S36" s="617">
        <f t="shared" si="0"/>
        <v>0</v>
      </c>
      <c r="T36" s="54"/>
      <c r="U36" s="54"/>
      <c r="V36" s="54"/>
      <c r="W36" s="54"/>
      <c r="X36" s="54"/>
      <c r="Y36" s="615">
        <f t="shared" si="8"/>
        <v>0.028491535154272628</v>
      </c>
      <c r="Z36" s="615">
        <f t="shared" si="9"/>
        <v>0.030201027263528985</v>
      </c>
    </row>
    <row r="37" spans="1:24" ht="13.5">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ht="126" customHeight="1">
      <c r="A38" s="635" t="s">
        <v>1202</v>
      </c>
      <c r="B38" s="54"/>
      <c r="C38" s="54"/>
      <c r="D38" s="54"/>
      <c r="E38" s="54"/>
      <c r="F38" s="54"/>
      <c r="G38" s="54"/>
      <c r="H38" s="54"/>
      <c r="I38" s="54"/>
      <c r="J38" s="54"/>
      <c r="K38" s="54"/>
      <c r="L38" s="54"/>
      <c r="M38" s="54"/>
      <c r="N38" s="54"/>
      <c r="O38" s="54"/>
      <c r="P38" s="54"/>
      <c r="Q38" s="54"/>
      <c r="R38" s="54"/>
      <c r="S38" s="54"/>
      <c r="T38" s="54"/>
      <c r="U38" s="54"/>
      <c r="V38" s="54"/>
      <c r="W38" s="54"/>
      <c r="X38" s="54"/>
    </row>
    <row r="39" spans="1:24" ht="40.5" customHeight="1">
      <c r="A39" s="635" t="s">
        <v>1206</v>
      </c>
      <c r="B39" s="54"/>
      <c r="C39" s="54"/>
      <c r="D39" s="54"/>
      <c r="E39" s="54"/>
      <c r="F39" s="54"/>
      <c r="G39" s="54"/>
      <c r="H39" s="54"/>
      <c r="I39" s="54"/>
      <c r="J39" s="54"/>
      <c r="K39" s="54"/>
      <c r="L39" s="54"/>
      <c r="M39" s="54"/>
      <c r="N39" s="54"/>
      <c r="O39" s="54"/>
      <c r="P39" s="54"/>
      <c r="Q39" s="54"/>
      <c r="R39" s="54"/>
      <c r="S39" s="54"/>
      <c r="T39" s="54"/>
      <c r="U39" s="54"/>
      <c r="V39" s="54"/>
      <c r="W39" s="54"/>
      <c r="X39" s="54"/>
    </row>
    <row r="40" spans="1:24" ht="40.5">
      <c r="A40" s="635" t="s">
        <v>1208</v>
      </c>
      <c r="B40" s="54"/>
      <c r="C40" s="54"/>
      <c r="D40" s="54"/>
      <c r="E40" s="54"/>
      <c r="F40" s="54"/>
      <c r="G40" s="54"/>
      <c r="H40" s="54"/>
      <c r="I40" s="54"/>
      <c r="J40" s="54"/>
      <c r="K40" s="54"/>
      <c r="L40" s="54"/>
      <c r="M40" s="54"/>
      <c r="N40" s="54"/>
      <c r="O40" s="54"/>
      <c r="P40" s="54"/>
      <c r="Q40" s="54"/>
      <c r="R40" s="54"/>
      <c r="S40" s="54"/>
      <c r="T40" s="54"/>
      <c r="U40" s="54"/>
      <c r="V40" s="54"/>
      <c r="W40" s="54"/>
      <c r="X40" s="54"/>
    </row>
    <row r="41" spans="1:24" ht="28.5" customHeight="1">
      <c r="A41" s="635" t="s">
        <v>1201</v>
      </c>
      <c r="B41" s="54"/>
      <c r="C41" s="54"/>
      <c r="D41" s="54"/>
      <c r="E41" s="54"/>
      <c r="F41" s="54"/>
      <c r="G41" s="54"/>
      <c r="H41" s="54"/>
      <c r="I41" s="54"/>
      <c r="J41" s="54"/>
      <c r="K41" s="54"/>
      <c r="L41" s="54"/>
      <c r="M41" s="54"/>
      <c r="N41" s="54"/>
      <c r="O41" s="54"/>
      <c r="P41" s="54"/>
      <c r="Q41" s="54"/>
      <c r="R41" s="54"/>
      <c r="S41" s="54"/>
      <c r="T41" s="54"/>
      <c r="U41" s="54"/>
      <c r="V41" s="54"/>
      <c r="W41" s="54"/>
      <c r="X41" s="54"/>
    </row>
    <row r="42" spans="1:24" ht="40.5">
      <c r="A42" s="635" t="s">
        <v>1200</v>
      </c>
      <c r="B42" s="54"/>
      <c r="C42" s="54"/>
      <c r="D42" s="54"/>
      <c r="E42" s="54"/>
      <c r="F42" s="54"/>
      <c r="G42" s="54"/>
      <c r="H42" s="54"/>
      <c r="I42" s="54"/>
      <c r="J42" s="54"/>
      <c r="K42" s="54"/>
      <c r="L42" s="54"/>
      <c r="M42" s="54"/>
      <c r="N42" s="54"/>
      <c r="O42" s="54"/>
      <c r="P42" s="54"/>
      <c r="Q42" s="54"/>
      <c r="R42" s="54"/>
      <c r="S42" s="54"/>
      <c r="T42" s="54"/>
      <c r="U42" s="54"/>
      <c r="V42" s="54"/>
      <c r="W42" s="54"/>
      <c r="X42" s="54"/>
    </row>
    <row r="43" spans="1:24" ht="67.5">
      <c r="A43" s="635" t="s">
        <v>1231</v>
      </c>
      <c r="B43" s="54"/>
      <c r="C43" s="54"/>
      <c r="D43" s="54"/>
      <c r="E43" s="54"/>
      <c r="F43" s="54"/>
      <c r="G43" s="54"/>
      <c r="H43" s="54"/>
      <c r="I43" s="54"/>
      <c r="J43" s="54"/>
      <c r="K43" s="54"/>
      <c r="L43" s="54"/>
      <c r="M43" s="54"/>
      <c r="N43" s="54"/>
      <c r="O43" s="54"/>
      <c r="P43" s="54"/>
      <c r="Q43" s="54"/>
      <c r="R43" s="54"/>
      <c r="S43" s="54"/>
      <c r="T43" s="54"/>
      <c r="U43" s="54"/>
      <c r="V43" s="54"/>
      <c r="W43" s="54"/>
      <c r="X43" s="54"/>
    </row>
    <row r="44" spans="1:24" ht="13.5">
      <c r="A44" s="635"/>
      <c r="B44" s="54"/>
      <c r="C44" s="54"/>
      <c r="D44" s="54"/>
      <c r="E44" s="54"/>
      <c r="F44" s="54"/>
      <c r="G44" s="54"/>
      <c r="H44" s="54"/>
      <c r="I44" s="54"/>
      <c r="J44" s="54"/>
      <c r="K44" s="54"/>
      <c r="L44" s="54"/>
      <c r="M44" s="54"/>
      <c r="N44" s="54"/>
      <c r="O44" s="54"/>
      <c r="P44" s="54"/>
      <c r="Q44" s="54"/>
      <c r="R44" s="54"/>
      <c r="S44" s="54"/>
      <c r="T44" s="54"/>
      <c r="U44" s="54"/>
      <c r="V44" s="54"/>
      <c r="W44" s="54"/>
      <c r="X44" s="54"/>
    </row>
    <row r="45" spans="1:24" ht="27">
      <c r="A45" s="699" t="s">
        <v>1170</v>
      </c>
      <c r="B45" s="54"/>
      <c r="C45" s="54"/>
      <c r="D45" s="54"/>
      <c r="E45" s="54"/>
      <c r="F45" s="54"/>
      <c r="G45" s="54"/>
      <c r="H45" s="54"/>
      <c r="I45" s="54"/>
      <c r="J45" s="54"/>
      <c r="K45" s="54"/>
      <c r="L45" s="54"/>
      <c r="M45" s="54"/>
      <c r="N45" s="54"/>
      <c r="O45" s="54"/>
      <c r="P45" s="54"/>
      <c r="Q45" s="54"/>
      <c r="R45" s="54"/>
      <c r="S45" s="54"/>
      <c r="T45" s="54"/>
      <c r="U45" s="54"/>
      <c r="V45" s="54"/>
      <c r="W45" s="54"/>
      <c r="X45" s="54"/>
    </row>
    <row r="46" ht="13.5">
      <c r="A46" s="5"/>
    </row>
  </sheetData>
  <sheetProtection/>
  <mergeCells count="1">
    <mergeCell ref="Q1:V1"/>
  </mergeCells>
  <printOptions gridLines="1"/>
  <pageMargins left="0.7086614173228347" right="0.7086614173228347" top="0.7480314960629921" bottom="0.7480314960629921" header="0.31496062992125984" footer="0.31496062992125984"/>
  <pageSetup horizontalDpi="600" verticalDpi="600" orientation="landscape" scale="51" r:id="rId1"/>
</worksheet>
</file>

<file path=xl/worksheets/sheet6.xml><?xml version="1.0" encoding="utf-8"?>
<worksheet xmlns="http://schemas.openxmlformats.org/spreadsheetml/2006/main" xmlns:r="http://schemas.openxmlformats.org/officeDocument/2006/relationships">
  <dimension ref="A1:P100"/>
  <sheetViews>
    <sheetView view="pageBreakPreview" zoomScale="90" zoomScaleNormal="90" zoomScaleSheetLayoutView="90" zoomScalePageLayoutView="0" workbookViewId="0" topLeftCell="A1">
      <pane xSplit="6" ySplit="6" topLeftCell="G7" activePane="bottomRight" state="frozen"/>
      <selection pane="topLeft" activeCell="A1" sqref="A1"/>
      <selection pane="topRight" activeCell="G1" sqref="G1"/>
      <selection pane="bottomLeft" activeCell="A6" sqref="A6"/>
      <selection pane="bottomRight" activeCell="A25" sqref="A25"/>
    </sheetView>
  </sheetViews>
  <sheetFormatPr defaultColWidth="9.140625" defaultRowHeight="12.75"/>
  <cols>
    <col min="1" max="1" width="95.140625" style="3" customWidth="1"/>
    <col min="2" max="2" width="28.8515625" style="3" hidden="1" customWidth="1"/>
    <col min="3" max="5" width="20.57421875" style="7" hidden="1" customWidth="1"/>
    <col min="6" max="6" width="19.421875" style="3" hidden="1" customWidth="1"/>
    <col min="7" max="7" width="12.57421875" style="3" hidden="1" customWidth="1"/>
    <col min="8" max="8" width="13.57421875" style="3" hidden="1" customWidth="1"/>
    <col min="9" max="9" width="18.57421875" style="7" hidden="1" customWidth="1"/>
    <col min="10" max="10" width="18.00390625" style="27" hidden="1" customWidth="1"/>
    <col min="11" max="12" width="18.00390625" style="27" customWidth="1"/>
    <col min="13" max="13" width="11.57421875" style="4" customWidth="1"/>
    <col min="14" max="16" width="17.8515625" style="3" customWidth="1"/>
    <col min="17" max="16384" width="9.140625" style="3" customWidth="1"/>
  </cols>
  <sheetData>
    <row r="1" spans="4:16" s="1" customFormat="1" ht="17.25">
      <c r="D1" s="25"/>
      <c r="E1" s="25"/>
      <c r="F1" s="25" t="s">
        <v>555</v>
      </c>
      <c r="G1" s="39"/>
      <c r="H1" s="39"/>
      <c r="I1" s="238" t="s">
        <v>1053</v>
      </c>
      <c r="J1" s="306"/>
      <c r="K1" s="975" t="s">
        <v>1083</v>
      </c>
      <c r="L1" s="975"/>
      <c r="M1" s="975"/>
      <c r="N1" s="975"/>
      <c r="O1" s="975"/>
      <c r="P1" s="975"/>
    </row>
    <row r="2" spans="1:13" s="1" customFormat="1" ht="17.25">
      <c r="A2" s="707" t="s">
        <v>20</v>
      </c>
      <c r="C2" s="15"/>
      <c r="D2" s="15"/>
      <c r="E2" s="15"/>
      <c r="I2" s="15"/>
      <c r="J2" s="33"/>
      <c r="K2" s="33"/>
      <c r="L2" s="33"/>
      <c r="M2" s="363"/>
    </row>
    <row r="3" spans="1:13" s="1" customFormat="1" ht="17.25">
      <c r="A3" s="5" t="s">
        <v>1520</v>
      </c>
      <c r="C3" s="15"/>
      <c r="D3" s="15"/>
      <c r="E3" s="15"/>
      <c r="I3" s="15"/>
      <c r="J3" s="33"/>
      <c r="K3" s="33"/>
      <c r="L3" s="33"/>
      <c r="M3" s="363"/>
    </row>
    <row r="4" ht="40.5" customHeight="1">
      <c r="A4" s="696" t="s">
        <v>311</v>
      </c>
    </row>
    <row r="5" spans="1:16" s="2" customFormat="1" ht="53.25" customHeight="1">
      <c r="A5" s="5" t="s">
        <v>968</v>
      </c>
      <c r="B5" s="8" t="s">
        <v>365</v>
      </c>
      <c r="C5" s="16" t="s">
        <v>370</v>
      </c>
      <c r="D5" s="16" t="s">
        <v>529</v>
      </c>
      <c r="E5" s="16" t="s">
        <v>566</v>
      </c>
      <c r="F5" s="2" t="s">
        <v>22</v>
      </c>
      <c r="G5" s="8" t="s">
        <v>825</v>
      </c>
      <c r="H5" s="8" t="s">
        <v>921</v>
      </c>
      <c r="I5" s="16" t="s">
        <v>965</v>
      </c>
      <c r="J5" s="664" t="s">
        <v>1281</v>
      </c>
      <c r="K5" s="664" t="s">
        <v>1280</v>
      </c>
      <c r="L5" s="664" t="s">
        <v>1512</v>
      </c>
      <c r="M5" s="9" t="s">
        <v>22</v>
      </c>
      <c r="N5" s="660" t="s">
        <v>1513</v>
      </c>
      <c r="O5" s="661" t="s">
        <v>1514</v>
      </c>
      <c r="P5" s="661"/>
    </row>
    <row r="6" spans="2:15" s="2" customFormat="1" ht="13.5">
      <c r="B6" s="8"/>
      <c r="C6" s="16"/>
      <c r="D6" s="16"/>
      <c r="E6" s="16"/>
      <c r="G6" s="8"/>
      <c r="H6" s="8"/>
      <c r="I6" s="259" t="s">
        <v>366</v>
      </c>
      <c r="J6" s="263" t="s">
        <v>366</v>
      </c>
      <c r="K6" s="263" t="s">
        <v>366</v>
      </c>
      <c r="L6" s="263"/>
      <c r="M6" s="260">
        <v>0.06</v>
      </c>
      <c r="N6" s="260">
        <v>0.06</v>
      </c>
      <c r="O6" s="260">
        <v>0.06</v>
      </c>
    </row>
    <row r="7" spans="2:13" s="2" customFormat="1" ht="13.5">
      <c r="B7" s="8"/>
      <c r="C7" s="16"/>
      <c r="D7" s="16"/>
      <c r="E7" s="16"/>
      <c r="G7" s="8"/>
      <c r="H7" s="8"/>
      <c r="I7" s="259"/>
      <c r="J7" s="260">
        <v>0.06</v>
      </c>
      <c r="K7" s="263"/>
      <c r="L7" s="263"/>
      <c r="M7" s="260"/>
    </row>
    <row r="8" spans="1:13" s="2" customFormat="1" ht="13.5">
      <c r="A8" s="2" t="s">
        <v>48</v>
      </c>
      <c r="B8" s="8" t="s">
        <v>366</v>
      </c>
      <c r="C8" s="16" t="s">
        <v>366</v>
      </c>
      <c r="D8" s="16" t="s">
        <v>366</v>
      </c>
      <c r="E8" s="16"/>
      <c r="F8" s="2" t="s">
        <v>371</v>
      </c>
      <c r="I8" s="17"/>
      <c r="J8" s="35"/>
      <c r="K8" s="35"/>
      <c r="L8" s="35"/>
      <c r="M8" s="9"/>
    </row>
    <row r="9" spans="1:15" ht="13.5">
      <c r="A9" s="6" t="s">
        <v>49</v>
      </c>
      <c r="B9" s="7">
        <v>76.68</v>
      </c>
      <c r="C9" s="7">
        <f>B9*1.1+1</f>
        <v>85.34800000000001</v>
      </c>
      <c r="D9" s="7">
        <v>95.32</v>
      </c>
      <c r="E9" s="7">
        <f>D9*1.1</f>
        <v>104.852</v>
      </c>
      <c r="F9" s="4">
        <f>(E9-D9)/D9</f>
        <v>0.10000000000000012</v>
      </c>
      <c r="G9" s="23">
        <v>121.16697120000002</v>
      </c>
      <c r="H9" s="23">
        <v>128.44</v>
      </c>
      <c r="I9" s="21">
        <f aca="true" t="shared" si="0" ref="I9:I14">H9*1.069</f>
        <v>137.30236</v>
      </c>
      <c r="J9" s="265">
        <f aca="true" t="shared" si="1" ref="J9:J14">(I9*$J$7)+I9</f>
        <v>145.5405016</v>
      </c>
      <c r="K9" s="265">
        <v>154.272931696</v>
      </c>
      <c r="L9" s="265">
        <f aca="true" t="shared" si="2" ref="L9:L14">(K9*M9)+K9</f>
        <v>163.52930759776</v>
      </c>
      <c r="M9" s="172">
        <f aca="true" t="shared" si="3" ref="M9:M14">$M$6</f>
        <v>0.06</v>
      </c>
      <c r="N9" s="265">
        <f aca="true" t="shared" si="4" ref="N9:N14">(L9*$N$6)+L9</f>
        <v>173.3410660536256</v>
      </c>
      <c r="O9" s="265">
        <f aca="true" t="shared" si="5" ref="O9:O14">(N9*$O$6)+N9</f>
        <v>183.74153001684314</v>
      </c>
    </row>
    <row r="10" spans="1:15" ht="13.5">
      <c r="A10" s="3" t="s">
        <v>1028</v>
      </c>
      <c r="B10" s="7">
        <v>460.1</v>
      </c>
      <c r="C10" s="7">
        <f>B10*1.1</f>
        <v>506.11000000000007</v>
      </c>
      <c r="D10" s="7">
        <f>C10*1.13</f>
        <v>571.9043</v>
      </c>
      <c r="E10" s="7">
        <f aca="true" t="shared" si="6" ref="E10:E31">D10*1.1</f>
        <v>629.0947300000001</v>
      </c>
      <c r="F10" s="4">
        <f aca="true" t="shared" si="7" ref="F10:F23">(E10-D10)/D10</f>
        <v>0.10000000000000017</v>
      </c>
      <c r="G10" s="23">
        <v>726.9818699880003</v>
      </c>
      <c r="H10" s="23">
        <v>770.6</v>
      </c>
      <c r="I10" s="21">
        <f t="shared" si="0"/>
        <v>823.7714</v>
      </c>
      <c r="J10" s="265">
        <f t="shared" si="1"/>
        <v>873.197684</v>
      </c>
      <c r="K10" s="265">
        <v>925.58954504</v>
      </c>
      <c r="L10" s="265">
        <f t="shared" si="2"/>
        <v>981.1249177423999</v>
      </c>
      <c r="M10" s="172">
        <f t="shared" si="3"/>
        <v>0.06</v>
      </c>
      <c r="N10" s="265">
        <f t="shared" si="4"/>
        <v>1039.992412806944</v>
      </c>
      <c r="O10" s="265">
        <f t="shared" si="5"/>
        <v>1102.3919575753607</v>
      </c>
    </row>
    <row r="11" spans="1:15" ht="13.5">
      <c r="A11" s="3" t="s">
        <v>50</v>
      </c>
      <c r="B11" s="7">
        <v>178.94</v>
      </c>
      <c r="C11" s="7">
        <f>B11*1.1</f>
        <v>196.834</v>
      </c>
      <c r="D11" s="7">
        <f>C11*1.13</f>
        <v>222.42242</v>
      </c>
      <c r="E11" s="7">
        <f t="shared" si="6"/>
        <v>244.664662</v>
      </c>
      <c r="F11" s="4">
        <f t="shared" si="7"/>
        <v>0.10000000000000002</v>
      </c>
      <c r="G11" s="23">
        <v>282.7344834072</v>
      </c>
      <c r="H11" s="23">
        <v>299.7</v>
      </c>
      <c r="I11" s="21">
        <f t="shared" si="0"/>
        <v>320.3793</v>
      </c>
      <c r="J11" s="265">
        <f t="shared" si="1"/>
        <v>339.602058</v>
      </c>
      <c r="K11" s="265">
        <v>359.97818148</v>
      </c>
      <c r="L11" s="265">
        <f t="shared" si="2"/>
        <v>381.57687236879997</v>
      </c>
      <c r="M11" s="172">
        <f t="shared" si="3"/>
        <v>0.06</v>
      </c>
      <c r="N11" s="265">
        <f t="shared" si="4"/>
        <v>404.47148471092794</v>
      </c>
      <c r="O11" s="265">
        <f t="shared" si="5"/>
        <v>428.7397737935836</v>
      </c>
    </row>
    <row r="12" spans="1:15" ht="13.5">
      <c r="A12" s="3" t="s">
        <v>51</v>
      </c>
      <c r="B12" s="7">
        <v>715.71</v>
      </c>
      <c r="C12" s="7">
        <f>B12*1.1</f>
        <v>787.2810000000001</v>
      </c>
      <c r="D12" s="7">
        <f>C12*1.13</f>
        <v>889.62753</v>
      </c>
      <c r="E12" s="7">
        <f t="shared" si="6"/>
        <v>978.590283</v>
      </c>
      <c r="F12" s="4">
        <f t="shared" si="7"/>
        <v>0.10000000000000002</v>
      </c>
      <c r="G12" s="21">
        <v>1130.8589310348</v>
      </c>
      <c r="H12" s="21">
        <v>1198.71</v>
      </c>
      <c r="I12" s="21">
        <f t="shared" si="0"/>
        <v>1281.42099</v>
      </c>
      <c r="J12" s="265">
        <f t="shared" si="1"/>
        <v>1358.3062494</v>
      </c>
      <c r="K12" s="265">
        <v>1439.8046243640001</v>
      </c>
      <c r="L12" s="265">
        <f>(K12*M12)+K12</f>
        <v>1526.1929018258402</v>
      </c>
      <c r="M12" s="172">
        <f t="shared" si="3"/>
        <v>0.06</v>
      </c>
      <c r="N12" s="265">
        <f t="shared" si="4"/>
        <v>1617.7644759353907</v>
      </c>
      <c r="O12" s="265">
        <f t="shared" si="5"/>
        <v>1714.830344491514</v>
      </c>
    </row>
    <row r="13" spans="1:15" ht="13.5">
      <c r="A13" s="3" t="s">
        <v>52</v>
      </c>
      <c r="B13" s="7">
        <v>51.09</v>
      </c>
      <c r="C13" s="7">
        <f>B13*1.1</f>
        <v>56.199000000000005</v>
      </c>
      <c r="D13" s="7">
        <f>C13*1.13</f>
        <v>63.50487</v>
      </c>
      <c r="E13" s="7">
        <f t="shared" si="6"/>
        <v>69.855357</v>
      </c>
      <c r="F13" s="4">
        <f t="shared" si="7"/>
        <v>0.10000000000000002</v>
      </c>
      <c r="G13" s="23">
        <v>80.72485054920001</v>
      </c>
      <c r="H13" s="23">
        <v>85.57</v>
      </c>
      <c r="I13" s="21">
        <f t="shared" si="0"/>
        <v>91.47433</v>
      </c>
      <c r="J13" s="265">
        <f t="shared" si="1"/>
        <v>96.9627898</v>
      </c>
      <c r="K13" s="265">
        <v>102.78055718799999</v>
      </c>
      <c r="L13" s="265">
        <f t="shared" si="2"/>
        <v>108.94739061927999</v>
      </c>
      <c r="M13" s="172">
        <f t="shared" si="3"/>
        <v>0.06</v>
      </c>
      <c r="N13" s="265">
        <f t="shared" si="4"/>
        <v>115.48423405643679</v>
      </c>
      <c r="O13" s="265">
        <f t="shared" si="5"/>
        <v>122.41328809982299</v>
      </c>
    </row>
    <row r="14" spans="1:15" ht="13.5">
      <c r="A14" s="3" t="s">
        <v>53</v>
      </c>
      <c r="B14" s="7">
        <v>460.15</v>
      </c>
      <c r="C14" s="7">
        <f>B14*1.1</f>
        <v>506.165</v>
      </c>
      <c r="D14" s="7">
        <f>C14*1.13</f>
        <v>571.96645</v>
      </c>
      <c r="E14" s="7">
        <f t="shared" si="6"/>
        <v>629.1630950000001</v>
      </c>
      <c r="F14" s="4">
        <f t="shared" si="7"/>
        <v>0.10000000000000017</v>
      </c>
      <c r="G14" s="23">
        <v>727.0608725820002</v>
      </c>
      <c r="H14" s="23">
        <v>770.68</v>
      </c>
      <c r="I14" s="21">
        <f t="shared" si="0"/>
        <v>823.85692</v>
      </c>
      <c r="J14" s="265">
        <f t="shared" si="1"/>
        <v>873.2883351999999</v>
      </c>
      <c r="K14" s="271">
        <v>500</v>
      </c>
      <c r="L14" s="271">
        <f t="shared" si="2"/>
        <v>530</v>
      </c>
      <c r="M14" s="172">
        <f t="shared" si="3"/>
        <v>0.06</v>
      </c>
      <c r="N14" s="271">
        <f t="shared" si="4"/>
        <v>561.8</v>
      </c>
      <c r="O14" s="271">
        <f t="shared" si="5"/>
        <v>595.5079999999999</v>
      </c>
    </row>
    <row r="15" spans="6:13" ht="13.5">
      <c r="F15" s="4"/>
      <c r="G15" s="92"/>
      <c r="H15" s="92"/>
      <c r="I15" s="21"/>
      <c r="J15" s="265"/>
      <c r="K15" s="265"/>
      <c r="L15" s="265"/>
      <c r="M15" s="172"/>
    </row>
    <row r="16" spans="6:13" ht="13.5">
      <c r="F16" s="4"/>
      <c r="G16" s="92"/>
      <c r="H16" s="92"/>
      <c r="I16" s="21"/>
      <c r="J16" s="265"/>
      <c r="K16" s="265"/>
      <c r="L16" s="265"/>
      <c r="M16" s="172"/>
    </row>
    <row r="17" spans="1:13" s="2" customFormat="1" ht="13.5">
      <c r="A17" s="2" t="s">
        <v>54</v>
      </c>
      <c r="C17" s="7"/>
      <c r="D17" s="7"/>
      <c r="E17" s="7"/>
      <c r="F17" s="4"/>
      <c r="G17" s="92"/>
      <c r="H17" s="92"/>
      <c r="I17" s="21"/>
      <c r="J17" s="265"/>
      <c r="K17" s="265"/>
      <c r="L17" s="265"/>
      <c r="M17" s="172"/>
    </row>
    <row r="18" spans="6:13" ht="13.5">
      <c r="F18" s="4"/>
      <c r="G18" s="92"/>
      <c r="H18" s="92"/>
      <c r="I18" s="21"/>
      <c r="J18" s="265"/>
      <c r="K18" s="265"/>
      <c r="L18" s="265"/>
      <c r="M18" s="172"/>
    </row>
    <row r="19" spans="1:13" s="2" customFormat="1" ht="13.5">
      <c r="A19" s="2" t="s">
        <v>457</v>
      </c>
      <c r="C19" s="7"/>
      <c r="D19" s="7"/>
      <c r="E19" s="7"/>
      <c r="F19" s="4"/>
      <c r="G19" s="92"/>
      <c r="H19" s="92"/>
      <c r="I19" s="21"/>
      <c r="J19" s="265"/>
      <c r="K19" s="265"/>
      <c r="L19" s="265"/>
      <c r="M19" s="172"/>
    </row>
    <row r="20" spans="1:15" ht="13.5">
      <c r="A20" s="3" t="s">
        <v>55</v>
      </c>
      <c r="B20" s="7">
        <v>847.46</v>
      </c>
      <c r="C20" s="7">
        <f>B20*1.1</f>
        <v>932.2060000000001</v>
      </c>
      <c r="D20" s="7">
        <f>C20*1.13</f>
        <v>1053.3927800000001</v>
      </c>
      <c r="E20" s="7">
        <f t="shared" si="6"/>
        <v>1158.7320580000003</v>
      </c>
      <c r="F20" s="4">
        <f t="shared" si="7"/>
        <v>0.10000000000000013</v>
      </c>
      <c r="G20" s="21">
        <v>1339.0307662248006</v>
      </c>
      <c r="H20" s="21">
        <v>1419.37</v>
      </c>
      <c r="I20" s="21">
        <f>H20*1.069</f>
        <v>1517.3065299999998</v>
      </c>
      <c r="J20" s="265">
        <f>(I20*$J$7)+I20</f>
        <v>1608.3449217999998</v>
      </c>
      <c r="K20" s="265">
        <v>1704.8456171079997</v>
      </c>
      <c r="L20" s="265">
        <f>(K20*M20)+K20</f>
        <v>1807.1363541344797</v>
      </c>
      <c r="M20" s="172">
        <f>$M$6</f>
        <v>0.06</v>
      </c>
      <c r="N20" s="265">
        <f>(L20*$N$6)+L20</f>
        <v>1915.5645353825485</v>
      </c>
      <c r="O20" s="265">
        <f>(N20*$O$6)+N20</f>
        <v>2030.4984075055013</v>
      </c>
    </row>
    <row r="21" spans="1:15" ht="13.5">
      <c r="A21" s="3" t="s">
        <v>56</v>
      </c>
      <c r="B21" s="7">
        <v>1615.42</v>
      </c>
      <c r="C21" s="7">
        <f>B21*1.1</f>
        <v>1776.9620000000002</v>
      </c>
      <c r="D21" s="7">
        <f>C21*1.13</f>
        <v>2007.96706</v>
      </c>
      <c r="E21" s="7">
        <f t="shared" si="6"/>
        <v>2208.763766</v>
      </c>
      <c r="F21" s="4">
        <f t="shared" si="7"/>
        <v>0.10000000000000005</v>
      </c>
      <c r="G21" s="21">
        <v>2552.4474079896004</v>
      </c>
      <c r="H21" s="21">
        <v>2705.59</v>
      </c>
      <c r="I21" s="21">
        <f>H21*1.069</f>
        <v>2892.27571</v>
      </c>
      <c r="J21" s="265">
        <f>(I21*$J$7)+I21</f>
        <v>3065.8122525999997</v>
      </c>
      <c r="K21" s="265">
        <v>3249.760987756</v>
      </c>
      <c r="L21" s="265">
        <f>(K21*M21)+K21</f>
        <v>3444.74664702136</v>
      </c>
      <c r="M21" s="172">
        <f>$M$6</f>
        <v>0.06</v>
      </c>
      <c r="N21" s="265">
        <f>(L21*$N$6)+L21</f>
        <v>3651.4314458426416</v>
      </c>
      <c r="O21" s="265">
        <f>(N21*$O$6)+N21</f>
        <v>3870.5173325932</v>
      </c>
    </row>
    <row r="22" spans="1:15" ht="13.5">
      <c r="A22" s="3" t="s">
        <v>57</v>
      </c>
      <c r="B22" s="7">
        <v>538.47</v>
      </c>
      <c r="C22" s="7">
        <f>B22*1.1</f>
        <v>592.3170000000001</v>
      </c>
      <c r="D22" s="7">
        <f>C22*1.13</f>
        <v>669.31821</v>
      </c>
      <c r="E22" s="7">
        <f t="shared" si="6"/>
        <v>736.250031</v>
      </c>
      <c r="F22" s="4">
        <f t="shared" si="7"/>
        <v>0.10000000000000002</v>
      </c>
      <c r="G22" s="21">
        <v>850.8105358236</v>
      </c>
      <c r="H22" s="21">
        <v>901.86</v>
      </c>
      <c r="I22" s="21">
        <f>H22*1.069</f>
        <v>964.08834</v>
      </c>
      <c r="J22" s="265">
        <f>(I22*$J$7)+I22</f>
        <v>1021.9336404000001</v>
      </c>
      <c r="K22" s="265">
        <v>1083.249658824</v>
      </c>
      <c r="L22" s="265">
        <f>(K22*M22)+K22</f>
        <v>1148.2446383534402</v>
      </c>
      <c r="M22" s="172">
        <f>$M$6</f>
        <v>0.06</v>
      </c>
      <c r="N22" s="265">
        <f>(L22*$N$6)+L22</f>
        <v>1217.1393166546466</v>
      </c>
      <c r="O22" s="265">
        <f>(N22*$O$6)+N22</f>
        <v>1290.1676756539255</v>
      </c>
    </row>
    <row r="23" spans="1:15" ht="13.5">
      <c r="A23" s="3" t="s">
        <v>58</v>
      </c>
      <c r="B23" s="7">
        <v>1615.42</v>
      </c>
      <c r="C23" s="7">
        <f>B23*1.1</f>
        <v>1776.9620000000002</v>
      </c>
      <c r="D23" s="7">
        <f>C23*1.13</f>
        <v>2007.96706</v>
      </c>
      <c r="E23" s="7">
        <f t="shared" si="6"/>
        <v>2208.763766</v>
      </c>
      <c r="F23" s="4">
        <f t="shared" si="7"/>
        <v>0.10000000000000005</v>
      </c>
      <c r="G23" s="21">
        <v>2552.4474079896004</v>
      </c>
      <c r="H23" s="21">
        <v>2705.59</v>
      </c>
      <c r="I23" s="21">
        <f>H23*1.069</f>
        <v>2892.27571</v>
      </c>
      <c r="J23" s="265">
        <f>(I23*$J$7)+I23</f>
        <v>3065.8122525999997</v>
      </c>
      <c r="K23" s="265">
        <v>3249.760987756</v>
      </c>
      <c r="L23" s="265">
        <f>(K23*M23)+K23</f>
        <v>3444.74664702136</v>
      </c>
      <c r="M23" s="172">
        <f>$M$6</f>
        <v>0.06</v>
      </c>
      <c r="N23" s="265">
        <f>(L23*$N$6)+L23</f>
        <v>3651.4314458426416</v>
      </c>
      <c r="O23" s="265">
        <f>(N23*$O$6)+N23</f>
        <v>3870.5173325932</v>
      </c>
    </row>
    <row r="24" spans="6:13" ht="13.5">
      <c r="F24" s="4"/>
      <c r="G24" s="92"/>
      <c r="H24" s="92"/>
      <c r="I24" s="21"/>
      <c r="J24" s="265"/>
      <c r="K24" s="265"/>
      <c r="L24" s="265"/>
      <c r="M24" s="172"/>
    </row>
    <row r="25" spans="1:13" s="2" customFormat="1" ht="13.5">
      <c r="A25" s="2" t="s">
        <v>458</v>
      </c>
      <c r="C25" s="7"/>
      <c r="D25" s="7"/>
      <c r="E25" s="7"/>
      <c r="F25" s="4"/>
      <c r="G25" s="92"/>
      <c r="H25" s="92"/>
      <c r="I25" s="21"/>
      <c r="J25" s="265"/>
      <c r="K25" s="265"/>
      <c r="L25" s="265"/>
      <c r="M25" s="172"/>
    </row>
    <row r="26" spans="1:15" ht="13.5">
      <c r="A26" s="3" t="s">
        <v>59</v>
      </c>
      <c r="B26" s="7">
        <v>266.71</v>
      </c>
      <c r="C26" s="7">
        <f aca="true" t="shared" si="8" ref="C26:C31">B26*1.1</f>
        <v>293.38100000000003</v>
      </c>
      <c r="D26" s="7">
        <f aca="true" t="shared" si="9" ref="D26:D31">C26*1.13</f>
        <v>331.52053</v>
      </c>
      <c r="E26" s="7">
        <f t="shared" si="6"/>
        <v>364.67258300000003</v>
      </c>
      <c r="F26" s="4">
        <f aca="true" t="shared" si="10" ref="F26:F31">(E26-D26)/D26</f>
        <v>0.10000000000000007</v>
      </c>
      <c r="G26" s="23">
        <v>421.4156369148001</v>
      </c>
      <c r="H26" s="23">
        <v>446.7</v>
      </c>
      <c r="I26" s="21">
        <f aca="true" t="shared" si="11" ref="I26:I31">H26*1.069</f>
        <v>477.5223</v>
      </c>
      <c r="J26" s="265">
        <f aca="true" t="shared" si="12" ref="J26:J31">(I26*$J$7)+I26</f>
        <v>506.173638</v>
      </c>
      <c r="K26" s="265">
        <v>536.54405628</v>
      </c>
      <c r="L26" s="265">
        <f aca="true" t="shared" si="13" ref="L26:L31">(K26*M26)+K26</f>
        <v>568.7366996567999</v>
      </c>
      <c r="M26" s="172">
        <f aca="true" t="shared" si="14" ref="M26:M31">$M$6</f>
        <v>0.06</v>
      </c>
      <c r="N26" s="265">
        <f aca="true" t="shared" si="15" ref="N26:N31">(L26*$N$6)+L26</f>
        <v>602.8609016362079</v>
      </c>
      <c r="O26" s="265">
        <f aca="true" t="shared" si="16" ref="O26:O31">(N26*$O$6)+N26</f>
        <v>639.0325557343804</v>
      </c>
    </row>
    <row r="27" spans="1:15" ht="13.5">
      <c r="A27" s="3" t="s">
        <v>60</v>
      </c>
      <c r="B27" s="7">
        <v>1066.8</v>
      </c>
      <c r="C27" s="7">
        <f t="shared" si="8"/>
        <v>1173.48</v>
      </c>
      <c r="D27" s="7">
        <f t="shared" si="9"/>
        <v>1326.0323999999998</v>
      </c>
      <c r="E27" s="7">
        <f t="shared" si="6"/>
        <v>1458.63564</v>
      </c>
      <c r="F27" s="4">
        <f t="shared" si="10"/>
        <v>0.10000000000000012</v>
      </c>
      <c r="G27" s="21">
        <v>1685.599345584</v>
      </c>
      <c r="H27" s="21">
        <v>1786.74</v>
      </c>
      <c r="I27" s="21">
        <f t="shared" si="11"/>
        <v>1910.02506</v>
      </c>
      <c r="J27" s="265">
        <f t="shared" si="12"/>
        <v>2024.6265635999998</v>
      </c>
      <c r="K27" s="265">
        <v>2146.104157416</v>
      </c>
      <c r="L27" s="265">
        <f t="shared" si="13"/>
        <v>2274.87040686096</v>
      </c>
      <c r="M27" s="172">
        <f t="shared" si="14"/>
        <v>0.06</v>
      </c>
      <c r="N27" s="265">
        <f t="shared" si="15"/>
        <v>2411.3626312726174</v>
      </c>
      <c r="O27" s="265">
        <f t="shared" si="16"/>
        <v>2556.0443891489745</v>
      </c>
    </row>
    <row r="28" spans="1:15" ht="13.5">
      <c r="A28" s="3" t="s">
        <v>61</v>
      </c>
      <c r="B28" s="7">
        <v>390.34</v>
      </c>
      <c r="C28" s="7">
        <f t="shared" si="8"/>
        <v>429.374</v>
      </c>
      <c r="D28" s="7">
        <f t="shared" si="9"/>
        <v>485.19262</v>
      </c>
      <c r="E28" s="7">
        <f t="shared" si="6"/>
        <v>533.7118820000001</v>
      </c>
      <c r="F28" s="4">
        <f t="shared" si="10"/>
        <v>0.10000000000000017</v>
      </c>
      <c r="G28" s="23">
        <v>616.7574508392001</v>
      </c>
      <c r="H28" s="23">
        <v>653.76</v>
      </c>
      <c r="I28" s="21">
        <f t="shared" si="11"/>
        <v>698.8694399999999</v>
      </c>
      <c r="J28" s="265">
        <f t="shared" si="12"/>
        <v>740.8016064</v>
      </c>
      <c r="K28" s="265">
        <v>785.249702784</v>
      </c>
      <c r="L28" s="265">
        <f t="shared" si="13"/>
        <v>832.36468495104</v>
      </c>
      <c r="M28" s="172">
        <f t="shared" si="14"/>
        <v>0.06</v>
      </c>
      <c r="N28" s="265">
        <f t="shared" si="15"/>
        <v>882.3065660481024</v>
      </c>
      <c r="O28" s="265">
        <f t="shared" si="16"/>
        <v>935.2449600109885</v>
      </c>
    </row>
    <row r="29" spans="1:15" ht="13.5">
      <c r="A29" s="3" t="s">
        <v>62</v>
      </c>
      <c r="B29" s="7">
        <v>500.75</v>
      </c>
      <c r="C29" s="7">
        <f t="shared" si="8"/>
        <v>550.825</v>
      </c>
      <c r="D29" s="7">
        <f t="shared" si="9"/>
        <v>622.43225</v>
      </c>
      <c r="E29" s="7">
        <f t="shared" si="6"/>
        <v>684.675475</v>
      </c>
      <c r="F29" s="4">
        <f t="shared" si="10"/>
        <v>0.10000000000000009</v>
      </c>
      <c r="G29" s="23">
        <v>791.2109789100001</v>
      </c>
      <c r="H29" s="23">
        <v>838.68</v>
      </c>
      <c r="I29" s="21">
        <f t="shared" si="11"/>
        <v>896.54892</v>
      </c>
      <c r="J29" s="265">
        <f t="shared" si="12"/>
        <v>950.3418551999999</v>
      </c>
      <c r="K29" s="265">
        <v>1007.3623665119999</v>
      </c>
      <c r="L29" s="265">
        <f t="shared" si="13"/>
        <v>1067.8041085027198</v>
      </c>
      <c r="M29" s="172">
        <f t="shared" si="14"/>
        <v>0.06</v>
      </c>
      <c r="N29" s="265">
        <f t="shared" si="15"/>
        <v>1131.872355012883</v>
      </c>
      <c r="O29" s="265">
        <f t="shared" si="16"/>
        <v>1199.784696313656</v>
      </c>
    </row>
    <row r="30" spans="1:15" ht="13.5">
      <c r="A30" s="3" t="s">
        <v>63</v>
      </c>
      <c r="B30" s="7">
        <v>1615.42</v>
      </c>
      <c r="C30" s="7">
        <f t="shared" si="8"/>
        <v>1776.9620000000002</v>
      </c>
      <c r="D30" s="7">
        <f t="shared" si="9"/>
        <v>2007.96706</v>
      </c>
      <c r="E30" s="7">
        <f t="shared" si="6"/>
        <v>2208.763766</v>
      </c>
      <c r="F30" s="4">
        <f t="shared" si="10"/>
        <v>0.10000000000000005</v>
      </c>
      <c r="G30" s="21">
        <v>2552.4474079896004</v>
      </c>
      <c r="H30" s="21">
        <v>2705.59</v>
      </c>
      <c r="I30" s="21">
        <f t="shared" si="11"/>
        <v>2892.27571</v>
      </c>
      <c r="J30" s="265">
        <f t="shared" si="12"/>
        <v>3065.8122525999997</v>
      </c>
      <c r="K30" s="265">
        <v>3249.760987756</v>
      </c>
      <c r="L30" s="265">
        <f t="shared" si="13"/>
        <v>3444.74664702136</v>
      </c>
      <c r="M30" s="172">
        <f t="shared" si="14"/>
        <v>0.06</v>
      </c>
      <c r="N30" s="265">
        <f t="shared" si="15"/>
        <v>3651.4314458426416</v>
      </c>
      <c r="O30" s="265">
        <f t="shared" si="16"/>
        <v>3870.5173325932</v>
      </c>
    </row>
    <row r="31" spans="1:15" s="20" customFormat="1" ht="13.5">
      <c r="A31" s="20" t="s">
        <v>64</v>
      </c>
      <c r="B31" s="28">
        <v>43.74</v>
      </c>
      <c r="C31" s="21">
        <f t="shared" si="8"/>
        <v>48.114000000000004</v>
      </c>
      <c r="D31" s="7">
        <f t="shared" si="9"/>
        <v>54.36882</v>
      </c>
      <c r="E31" s="7">
        <f t="shared" si="6"/>
        <v>59.805702000000004</v>
      </c>
      <c r="F31" s="4">
        <f t="shared" si="10"/>
        <v>0.10000000000000007</v>
      </c>
      <c r="G31" s="23">
        <v>69.1114692312</v>
      </c>
      <c r="H31" s="23">
        <v>73.26</v>
      </c>
      <c r="I31" s="21">
        <f t="shared" si="11"/>
        <v>78.31494</v>
      </c>
      <c r="J31" s="265">
        <f t="shared" si="12"/>
        <v>83.0138364</v>
      </c>
      <c r="K31" s="265">
        <v>87.994666584</v>
      </c>
      <c r="L31" s="265">
        <f t="shared" si="13"/>
        <v>93.27434657904</v>
      </c>
      <c r="M31" s="172">
        <f t="shared" si="14"/>
        <v>0.06</v>
      </c>
      <c r="N31" s="265">
        <f t="shared" si="15"/>
        <v>98.8708073737824</v>
      </c>
      <c r="O31" s="265">
        <f t="shared" si="16"/>
        <v>104.80305581620934</v>
      </c>
    </row>
    <row r="32" spans="2:13" s="20" customFormat="1" ht="13.5">
      <c r="B32" s="28"/>
      <c r="C32" s="21"/>
      <c r="D32" s="7"/>
      <c r="E32" s="7"/>
      <c r="F32" s="4"/>
      <c r="G32" s="92"/>
      <c r="H32" s="92"/>
      <c r="I32" s="21"/>
      <c r="J32" s="265"/>
      <c r="K32" s="265"/>
      <c r="L32" s="265"/>
      <c r="M32" s="172"/>
    </row>
    <row r="33" spans="1:13" s="2" customFormat="1" ht="13.5">
      <c r="A33" s="2" t="s">
        <v>657</v>
      </c>
      <c r="C33" s="7"/>
      <c r="D33" s="7"/>
      <c r="E33" s="7"/>
      <c r="F33" s="4"/>
      <c r="G33" s="92"/>
      <c r="H33" s="92"/>
      <c r="I33" s="21"/>
      <c r="J33" s="265"/>
      <c r="K33" s="265"/>
      <c r="L33" s="265"/>
      <c r="M33" s="172"/>
    </row>
    <row r="34" spans="1:13" s="2" customFormat="1" ht="13.5">
      <c r="A34" s="20" t="s">
        <v>919</v>
      </c>
      <c r="C34" s="7"/>
      <c r="D34" s="48" t="s">
        <v>65</v>
      </c>
      <c r="E34" s="48" t="s">
        <v>65</v>
      </c>
      <c r="F34" s="4"/>
      <c r="G34" s="93"/>
      <c r="H34" s="93"/>
      <c r="I34" s="21"/>
      <c r="J34" s="265"/>
      <c r="K34" s="265"/>
      <c r="L34" s="265"/>
      <c r="M34" s="172"/>
    </row>
    <row r="35" spans="1:15" ht="13.5">
      <c r="A35" s="20" t="s">
        <v>920</v>
      </c>
      <c r="B35" s="6">
        <v>50.09</v>
      </c>
      <c r="C35" s="21">
        <f>B35*1.1</f>
        <v>55.09900000000001</v>
      </c>
      <c r="D35" s="7">
        <f>C35*1.13</f>
        <v>62.26187000000001</v>
      </c>
      <c r="E35" s="7">
        <f>D35*1.1</f>
        <v>68.48805700000001</v>
      </c>
      <c r="F35" s="4">
        <f>(E35-D35)/D35</f>
        <v>0.10000000000000003</v>
      </c>
      <c r="G35" s="23">
        <v>79.14479866920003</v>
      </c>
      <c r="H35" s="23">
        <v>83.89</v>
      </c>
      <c r="I35" s="21">
        <f>H35*1.069</f>
        <v>89.67841</v>
      </c>
      <c r="J35" s="265">
        <f aca="true" t="shared" si="17" ref="J35:J40">(I35*$J$7)+I35</f>
        <v>95.0591146</v>
      </c>
      <c r="K35" s="265">
        <v>100.762661476</v>
      </c>
      <c r="L35" s="265">
        <f aca="true" t="shared" si="18" ref="L35:L41">(K35*M35)+K35</f>
        <v>106.80842116456</v>
      </c>
      <c r="M35" s="172">
        <f aca="true" t="shared" si="19" ref="M35:M41">$M$6</f>
        <v>0.06</v>
      </c>
      <c r="N35" s="265">
        <f aca="true" t="shared" si="20" ref="N35:N41">(L35*$N$6)+L35</f>
        <v>113.2169264344336</v>
      </c>
      <c r="O35" s="265">
        <f aca="true" t="shared" si="21" ref="O35:O41">(N35*$O$6)+N35</f>
        <v>120.00994202049962</v>
      </c>
    </row>
    <row r="36" spans="1:15" s="20" customFormat="1" ht="13.5">
      <c r="A36" s="20" t="s">
        <v>66</v>
      </c>
      <c r="B36" s="21">
        <v>44.68</v>
      </c>
      <c r="C36" s="21">
        <f>B36*1.1</f>
        <v>49.148</v>
      </c>
      <c r="D36" s="21">
        <f>C36*1.13</f>
        <v>55.53724</v>
      </c>
      <c r="E36" s="21">
        <f>D36*1.1</f>
        <v>61.090964</v>
      </c>
      <c r="F36" s="43">
        <f>(E36-D36)/D36</f>
        <v>0.10000000000000005</v>
      </c>
      <c r="G36" s="23">
        <v>70.59671799840001</v>
      </c>
      <c r="H36" s="23">
        <v>74.83</v>
      </c>
      <c r="I36" s="21">
        <f>H36*1.069</f>
        <v>79.99327</v>
      </c>
      <c r="J36" s="265">
        <f t="shared" si="17"/>
        <v>84.79286619999999</v>
      </c>
      <c r="K36" s="265">
        <v>89.880438172</v>
      </c>
      <c r="L36" s="265">
        <f t="shared" si="18"/>
        <v>95.27326446232</v>
      </c>
      <c r="M36" s="172">
        <f t="shared" si="19"/>
        <v>0.06</v>
      </c>
      <c r="N36" s="265">
        <f t="shared" si="20"/>
        <v>100.9896603300592</v>
      </c>
      <c r="O36" s="265">
        <f t="shared" si="21"/>
        <v>107.04903994986275</v>
      </c>
    </row>
    <row r="37" spans="1:15" s="20" customFormat="1" ht="13.5">
      <c r="A37" s="20" t="s">
        <v>785</v>
      </c>
      <c r="B37" s="21"/>
      <c r="C37" s="21"/>
      <c r="D37" s="76" t="s">
        <v>65</v>
      </c>
      <c r="E37" s="76" t="s">
        <v>65</v>
      </c>
      <c r="F37" s="43">
        <v>0</v>
      </c>
      <c r="G37" s="93"/>
      <c r="H37" s="93"/>
      <c r="I37" s="21">
        <f>H37*1.069</f>
        <v>0</v>
      </c>
      <c r="J37" s="265">
        <f t="shared" si="17"/>
        <v>0</v>
      </c>
      <c r="K37" s="265">
        <v>0</v>
      </c>
      <c r="L37" s="265">
        <f t="shared" si="18"/>
        <v>0</v>
      </c>
      <c r="M37" s="172">
        <f t="shared" si="19"/>
        <v>0.06</v>
      </c>
      <c r="N37" s="265">
        <f t="shared" si="20"/>
        <v>0</v>
      </c>
      <c r="O37" s="265">
        <f t="shared" si="21"/>
        <v>0</v>
      </c>
    </row>
    <row r="38" spans="1:15" s="20" customFormat="1" ht="13.5">
      <c r="A38" s="20" t="s">
        <v>787</v>
      </c>
      <c r="B38" s="21">
        <v>60.92</v>
      </c>
      <c r="C38" s="21">
        <f>B38*1.1</f>
        <v>67.012</v>
      </c>
      <c r="D38" s="21">
        <v>37.87</v>
      </c>
      <c r="E38" s="76">
        <f>D38*1.1</f>
        <v>41.657000000000004</v>
      </c>
      <c r="F38" s="43">
        <f>(E38-D38)/D38</f>
        <v>0.10000000000000017</v>
      </c>
      <c r="G38" s="23">
        <v>48.13882920000001</v>
      </c>
      <c r="H38" s="23">
        <v>51.03</v>
      </c>
      <c r="I38" s="21">
        <f>H38*1.069</f>
        <v>54.551069999999996</v>
      </c>
      <c r="J38" s="265">
        <f t="shared" si="17"/>
        <v>57.824134199999996</v>
      </c>
      <c r="K38" s="265">
        <v>61.29358225199999</v>
      </c>
      <c r="L38" s="265">
        <f t="shared" si="18"/>
        <v>64.97119718712</v>
      </c>
      <c r="M38" s="172">
        <f t="shared" si="19"/>
        <v>0.06</v>
      </c>
      <c r="N38" s="265">
        <f t="shared" si="20"/>
        <v>68.8694690183472</v>
      </c>
      <c r="O38" s="265">
        <f t="shared" si="21"/>
        <v>73.00163715944804</v>
      </c>
    </row>
    <row r="39" spans="1:15" s="20" customFormat="1" ht="13.5">
      <c r="A39" s="20" t="s">
        <v>786</v>
      </c>
      <c r="C39" s="21"/>
      <c r="D39" s="21">
        <v>37.87</v>
      </c>
      <c r="E39" s="21">
        <f>D39*1.1</f>
        <v>41.657000000000004</v>
      </c>
      <c r="F39" s="43">
        <f>(E39-D39)/D39</f>
        <v>0.10000000000000017</v>
      </c>
      <c r="G39" s="23">
        <v>48.13882920000001</v>
      </c>
      <c r="H39" s="23">
        <v>51.03</v>
      </c>
      <c r="I39" s="21">
        <f>H39*1.069</f>
        <v>54.551069999999996</v>
      </c>
      <c r="J39" s="265">
        <f t="shared" si="17"/>
        <v>57.824134199999996</v>
      </c>
      <c r="K39" s="265">
        <v>61.29358225199999</v>
      </c>
      <c r="L39" s="265">
        <f t="shared" si="18"/>
        <v>64.97119718712</v>
      </c>
      <c r="M39" s="172">
        <f t="shared" si="19"/>
        <v>0.06</v>
      </c>
      <c r="N39" s="265">
        <f t="shared" si="20"/>
        <v>68.8694690183472</v>
      </c>
      <c r="O39" s="265">
        <f t="shared" si="21"/>
        <v>73.00163715944804</v>
      </c>
    </row>
    <row r="40" spans="1:15" s="20" customFormat="1" ht="13.5" customHeight="1">
      <c r="A40" s="20" t="s">
        <v>658</v>
      </c>
      <c r="B40" s="274" t="s">
        <v>528</v>
      </c>
      <c r="C40" s="274" t="s">
        <v>528</v>
      </c>
      <c r="D40" s="274">
        <v>75.72</v>
      </c>
      <c r="E40" s="274">
        <f>D40*1.1</f>
        <v>83.292</v>
      </c>
      <c r="F40" s="43">
        <v>0.1</v>
      </c>
      <c r="G40" s="23">
        <v>96.25223520000002</v>
      </c>
      <c r="H40" s="23">
        <v>102.03</v>
      </c>
      <c r="I40" s="21">
        <v>130.884</v>
      </c>
      <c r="J40" s="265">
        <f t="shared" si="17"/>
        <v>138.73703999999998</v>
      </c>
      <c r="K40" s="265">
        <v>0</v>
      </c>
      <c r="L40" s="265">
        <f t="shared" si="18"/>
        <v>0</v>
      </c>
      <c r="M40" s="768">
        <f t="shared" si="19"/>
        <v>0.06</v>
      </c>
      <c r="N40" s="265">
        <f t="shared" si="20"/>
        <v>0</v>
      </c>
      <c r="O40" s="265">
        <f t="shared" si="21"/>
        <v>0</v>
      </c>
    </row>
    <row r="41" spans="1:15" ht="13.5">
      <c r="A41" s="3" t="s">
        <v>1171</v>
      </c>
      <c r="F41" s="4"/>
      <c r="G41" s="92"/>
      <c r="H41" s="92"/>
      <c r="I41" s="21"/>
      <c r="J41" s="265"/>
      <c r="K41" s="265">
        <v>5000</v>
      </c>
      <c r="L41" s="265">
        <f t="shared" si="18"/>
        <v>5300</v>
      </c>
      <c r="M41" s="172">
        <f t="shared" si="19"/>
        <v>0.06</v>
      </c>
      <c r="N41" s="265">
        <f t="shared" si="20"/>
        <v>5618</v>
      </c>
      <c r="O41" s="265">
        <f t="shared" si="21"/>
        <v>5955.08</v>
      </c>
    </row>
    <row r="42" spans="1:13" ht="13.5">
      <c r="A42" s="3" t="s">
        <v>67</v>
      </c>
      <c r="B42" s="3" t="s">
        <v>65</v>
      </c>
      <c r="C42" s="7" t="s">
        <v>65</v>
      </c>
      <c r="D42" s="7" t="s">
        <v>65</v>
      </c>
      <c r="E42" s="7" t="s">
        <v>65</v>
      </c>
      <c r="F42" s="4"/>
      <c r="G42" s="93"/>
      <c r="H42" s="93"/>
      <c r="I42" s="21"/>
      <c r="J42" s="265"/>
      <c r="K42" s="265"/>
      <c r="L42" s="265"/>
      <c r="M42" s="172"/>
    </row>
    <row r="43" spans="1:13" ht="13.5">
      <c r="A43" s="3" t="s">
        <v>68</v>
      </c>
      <c r="B43" s="3" t="s">
        <v>65</v>
      </c>
      <c r="C43" s="7" t="s">
        <v>65</v>
      </c>
      <c r="D43" s="7" t="s">
        <v>65</v>
      </c>
      <c r="E43" s="7" t="s">
        <v>65</v>
      </c>
      <c r="F43" s="4"/>
      <c r="G43" s="93"/>
      <c r="H43" s="93"/>
      <c r="I43" s="21"/>
      <c r="J43" s="265"/>
      <c r="K43" s="265"/>
      <c r="L43" s="265"/>
      <c r="M43" s="172"/>
    </row>
    <row r="44" spans="1:15" ht="13.5">
      <c r="A44" s="3" t="s">
        <v>69</v>
      </c>
      <c r="B44" s="7">
        <v>9.48</v>
      </c>
      <c r="C44" s="7">
        <f>B44*1.1</f>
        <v>10.428</v>
      </c>
      <c r="D44" s="7">
        <f>C44*1.13</f>
        <v>11.78364</v>
      </c>
      <c r="E44" s="7">
        <f>D44*1.1</f>
        <v>12.962004</v>
      </c>
      <c r="F44" s="4">
        <f>(E44-D44)/D44</f>
        <v>0.10000000000000002</v>
      </c>
      <c r="G44" s="23">
        <v>14.978891822400001</v>
      </c>
      <c r="H44" s="23">
        <v>15.88</v>
      </c>
      <c r="I44" s="21">
        <f>H44*1.069</f>
        <v>16.97572</v>
      </c>
      <c r="J44" s="265">
        <f>(I44*$J$7)+I44</f>
        <v>17.9942632</v>
      </c>
      <c r="K44" s="265">
        <v>19.073918992</v>
      </c>
      <c r="L44" s="265">
        <f>(K44*M44)+K44</f>
        <v>20.218354131519998</v>
      </c>
      <c r="M44" s="172">
        <f>$M$6</f>
        <v>0.06</v>
      </c>
      <c r="N44" s="265">
        <f aca="true" t="shared" si="22" ref="N44:N95">(L44*$N$6)+L44</f>
        <v>21.431455379411197</v>
      </c>
      <c r="O44" s="265">
        <f>(N44*$O$6)+N44</f>
        <v>22.71734270217587</v>
      </c>
    </row>
    <row r="45" spans="1:15" ht="13.5">
      <c r="A45" s="3" t="s">
        <v>70</v>
      </c>
      <c r="B45" s="7">
        <v>18.95</v>
      </c>
      <c r="C45" s="7">
        <f>B45*1.1</f>
        <v>20.845000000000002</v>
      </c>
      <c r="D45" s="7">
        <f>C45*1.13</f>
        <v>23.554850000000002</v>
      </c>
      <c r="E45" s="7">
        <f>D45*1.1</f>
        <v>25.910335000000003</v>
      </c>
      <c r="F45" s="4">
        <f>(E45-D45)/D45</f>
        <v>0.10000000000000006</v>
      </c>
      <c r="G45" s="23">
        <v>29.941983126000007</v>
      </c>
      <c r="H45" s="23">
        <v>31.74</v>
      </c>
      <c r="I45" s="21">
        <f>H45*1.069</f>
        <v>33.93006</v>
      </c>
      <c r="J45" s="265">
        <f>(I45*$J$7)+I45</f>
        <v>35.9658636</v>
      </c>
      <c r="K45" s="265">
        <v>38.123815416</v>
      </c>
      <c r="L45" s="265">
        <f>(K45*M45)+K45</f>
        <v>40.411244340959996</v>
      </c>
      <c r="M45" s="172">
        <f>$M$6</f>
        <v>0.06</v>
      </c>
      <c r="N45" s="265">
        <f t="shared" si="22"/>
        <v>42.835919001417594</v>
      </c>
      <c r="O45" s="265">
        <f>(N45*$O$6)+N45</f>
        <v>45.40607414150265</v>
      </c>
    </row>
    <row r="46" spans="6:13" ht="13.5">
      <c r="F46" s="4"/>
      <c r="G46" s="92"/>
      <c r="H46" s="92"/>
      <c r="I46" s="21"/>
      <c r="J46" s="265"/>
      <c r="K46" s="265"/>
      <c r="L46" s="265"/>
      <c r="M46" s="172"/>
    </row>
    <row r="47" spans="1:13" s="29" customFormat="1" ht="13.5" hidden="1">
      <c r="A47" s="29" t="s">
        <v>71</v>
      </c>
      <c r="C47" s="30"/>
      <c r="D47" s="7"/>
      <c r="E47" s="7"/>
      <c r="F47" s="4"/>
      <c r="G47" s="92"/>
      <c r="H47" s="92"/>
      <c r="I47" s="21"/>
      <c r="J47" s="265"/>
      <c r="K47" s="265"/>
      <c r="L47" s="265"/>
      <c r="M47" s="172"/>
    </row>
    <row r="48" spans="1:13" s="32" customFormat="1" ht="27" hidden="1">
      <c r="A48" s="31" t="s">
        <v>72</v>
      </c>
      <c r="B48" s="30">
        <v>27.250819200000006</v>
      </c>
      <c r="C48" s="30">
        <f>B48*1.1</f>
        <v>29.97590112000001</v>
      </c>
      <c r="D48" s="7"/>
      <c r="E48" s="7"/>
      <c r="F48" s="4"/>
      <c r="G48" s="92"/>
      <c r="H48" s="92"/>
      <c r="I48" s="21"/>
      <c r="J48" s="265"/>
      <c r="K48" s="265"/>
      <c r="L48" s="265"/>
      <c r="M48" s="172"/>
    </row>
    <row r="49" spans="1:13" s="32" customFormat="1" ht="27" hidden="1">
      <c r="A49" s="31" t="s">
        <v>73</v>
      </c>
      <c r="B49" s="30">
        <v>48.79710000000001</v>
      </c>
      <c r="C49" s="30">
        <f>B49*1.1</f>
        <v>53.67681000000001</v>
      </c>
      <c r="D49" s="7"/>
      <c r="E49" s="7"/>
      <c r="F49" s="4"/>
      <c r="G49" s="92"/>
      <c r="H49" s="92"/>
      <c r="I49" s="21"/>
      <c r="J49" s="265"/>
      <c r="K49" s="265"/>
      <c r="L49" s="265"/>
      <c r="M49" s="172"/>
    </row>
    <row r="50" spans="1:13" s="32" customFormat="1" ht="27" hidden="1">
      <c r="A50" s="31" t="s">
        <v>74</v>
      </c>
      <c r="B50" s="30">
        <v>271.3370616</v>
      </c>
      <c r="C50" s="30">
        <f>B50*1.1</f>
        <v>298.47076776000006</v>
      </c>
      <c r="D50" s="7"/>
      <c r="E50" s="7"/>
      <c r="F50" s="4"/>
      <c r="G50" s="92"/>
      <c r="H50" s="92"/>
      <c r="I50" s="21"/>
      <c r="J50" s="265"/>
      <c r="K50" s="265"/>
      <c r="L50" s="265"/>
      <c r="M50" s="172"/>
    </row>
    <row r="51" spans="1:13" s="32" customFormat="1" ht="13.5" hidden="1">
      <c r="A51" s="32" t="s">
        <v>75</v>
      </c>
      <c r="B51" s="30">
        <v>42.80292720000001</v>
      </c>
      <c r="C51" s="30">
        <f>B51*1.1</f>
        <v>47.08321992000002</v>
      </c>
      <c r="D51" s="7"/>
      <c r="E51" s="7"/>
      <c r="F51" s="4"/>
      <c r="G51" s="92"/>
      <c r="H51" s="92"/>
      <c r="I51" s="21"/>
      <c r="J51" s="265"/>
      <c r="K51" s="265"/>
      <c r="L51" s="265"/>
      <c r="M51" s="172"/>
    </row>
    <row r="52" spans="1:13" s="32" customFormat="1" ht="13.5" hidden="1">
      <c r="A52" s="32" t="s">
        <v>76</v>
      </c>
      <c r="B52" s="30">
        <v>1090.5490728000002</v>
      </c>
      <c r="C52" s="30">
        <f>B52*1.1</f>
        <v>1199.6039800800004</v>
      </c>
      <c r="D52" s="7"/>
      <c r="E52" s="7"/>
      <c r="F52" s="4"/>
      <c r="G52" s="92"/>
      <c r="H52" s="92"/>
      <c r="I52" s="21"/>
      <c r="J52" s="265"/>
      <c r="K52" s="265"/>
      <c r="L52" s="265"/>
      <c r="M52" s="172"/>
    </row>
    <row r="53" spans="6:13" ht="13.5" hidden="1">
      <c r="F53" s="4"/>
      <c r="G53" s="92"/>
      <c r="H53" s="92"/>
      <c r="I53" s="21"/>
      <c r="J53" s="265"/>
      <c r="K53" s="265"/>
      <c r="L53" s="265"/>
      <c r="M53" s="172"/>
    </row>
    <row r="54" spans="1:13" s="2" customFormat="1" ht="13.5">
      <c r="A54" s="2" t="s">
        <v>456</v>
      </c>
      <c r="C54" s="7"/>
      <c r="D54" s="7"/>
      <c r="E54" s="7"/>
      <c r="F54" s="4"/>
      <c r="G54" s="92"/>
      <c r="H54" s="92"/>
      <c r="I54" s="21"/>
      <c r="J54" s="265"/>
      <c r="K54" s="265"/>
      <c r="L54" s="265"/>
      <c r="M54" s="172"/>
    </row>
    <row r="55" spans="1:15" ht="13.5">
      <c r="A55" s="3" t="s">
        <v>77</v>
      </c>
      <c r="B55" s="7">
        <v>112.44</v>
      </c>
      <c r="C55" s="7">
        <f>B55*1.1</f>
        <v>123.68400000000001</v>
      </c>
      <c r="D55" s="7">
        <f>C55*1.13</f>
        <v>139.76292</v>
      </c>
      <c r="E55" s="7">
        <f>D55*1.1</f>
        <v>153.739212</v>
      </c>
      <c r="F55" s="4">
        <f>(E55-D55)/D55</f>
        <v>0.1</v>
      </c>
      <c r="G55" s="23">
        <v>177.6610333872</v>
      </c>
      <c r="H55" s="23">
        <v>188.32</v>
      </c>
      <c r="I55" s="21">
        <f>H55*1.069</f>
        <v>201.31408</v>
      </c>
      <c r="J55" s="265">
        <f>(I55*$J$7)+I55</f>
        <v>213.3929248</v>
      </c>
      <c r="K55" s="265">
        <v>226.196500288</v>
      </c>
      <c r="L55" s="265">
        <f>(K55*M55)+K55</f>
        <v>239.76829030528</v>
      </c>
      <c r="M55" s="172">
        <f>$M$6</f>
        <v>0.06</v>
      </c>
      <c r="N55" s="265">
        <f t="shared" si="22"/>
        <v>254.1543877235968</v>
      </c>
      <c r="O55" s="265">
        <f>(N55*$O$6)+N55</f>
        <v>269.4036509870126</v>
      </c>
    </row>
    <row r="56" spans="1:15" ht="13.5">
      <c r="A56" s="3" t="s">
        <v>78</v>
      </c>
      <c r="B56" s="7">
        <v>61.34</v>
      </c>
      <c r="C56" s="7">
        <f>B56*1.1</f>
        <v>67.474</v>
      </c>
      <c r="D56" s="7">
        <f>C56*1.13</f>
        <v>76.24562</v>
      </c>
      <c r="E56" s="7">
        <f>D56*1.1</f>
        <v>83.87018200000001</v>
      </c>
      <c r="F56" s="4">
        <f>(E56-D56)/D56</f>
        <v>0.10000000000000014</v>
      </c>
      <c r="G56" s="23">
        <v>96.92038231920003</v>
      </c>
      <c r="H56" s="23">
        <v>102.74</v>
      </c>
      <c r="I56" s="21">
        <f>H56*1.069</f>
        <v>109.82905999999998</v>
      </c>
      <c r="J56" s="265">
        <f>(I56*$J$7)+I56</f>
        <v>116.41880359999999</v>
      </c>
      <c r="K56" s="265">
        <v>123.40393181599998</v>
      </c>
      <c r="L56" s="265">
        <f>(K56*M56)+K56</f>
        <v>130.80816772496</v>
      </c>
      <c r="M56" s="172">
        <f>$M$6</f>
        <v>0.06</v>
      </c>
      <c r="N56" s="265">
        <f t="shared" si="22"/>
        <v>138.65665778845758</v>
      </c>
      <c r="O56" s="265">
        <f>(N56*$O$6)+N56</f>
        <v>146.97605725576503</v>
      </c>
    </row>
    <row r="57" spans="1:15" ht="13.5">
      <c r="A57" s="3" t="s">
        <v>79</v>
      </c>
      <c r="B57" s="7">
        <v>30.68</v>
      </c>
      <c r="C57" s="7">
        <f>B57*1.1</f>
        <v>33.748000000000005</v>
      </c>
      <c r="D57" s="7">
        <f>C57*1.13</f>
        <v>38.13524</v>
      </c>
      <c r="E57" s="7">
        <f>D57*1.1</f>
        <v>41.948764000000004</v>
      </c>
      <c r="F57" s="4">
        <f>(E57-D57)/D57</f>
        <v>0.10000000000000002</v>
      </c>
      <c r="G57" s="23">
        <v>48.475991678400014</v>
      </c>
      <c r="H57" s="23">
        <v>51.38</v>
      </c>
      <c r="I57" s="21">
        <f>H57*1.069</f>
        <v>54.92522</v>
      </c>
      <c r="J57" s="265">
        <f>(I57*$J$7)+I57</f>
        <v>58.220733200000005</v>
      </c>
      <c r="K57" s="265">
        <v>61.713977192</v>
      </c>
      <c r="L57" s="265">
        <f>(K57*M57)+K57</f>
        <v>65.41681582352</v>
      </c>
      <c r="M57" s="172">
        <f>$M$6</f>
        <v>0.06</v>
      </c>
      <c r="N57" s="265">
        <f t="shared" si="22"/>
        <v>69.34182477293119</v>
      </c>
      <c r="O57" s="265">
        <f>(N57*$O$6)+N57</f>
        <v>73.50233425930706</v>
      </c>
    </row>
    <row r="58" spans="1:15" ht="13.5">
      <c r="A58" s="3" t="s">
        <v>80</v>
      </c>
      <c r="B58" s="7">
        <v>30.68</v>
      </c>
      <c r="C58" s="7">
        <f>B58*1.1</f>
        <v>33.748000000000005</v>
      </c>
      <c r="D58" s="7">
        <f>C58*1.13</f>
        <v>38.13524</v>
      </c>
      <c r="E58" s="7">
        <f>D58*1.1</f>
        <v>41.948764000000004</v>
      </c>
      <c r="F58" s="4">
        <f>(E58-D58)/D58</f>
        <v>0.10000000000000002</v>
      </c>
      <c r="G58" s="23">
        <v>48.475991678400014</v>
      </c>
      <c r="H58" s="23">
        <v>51.38</v>
      </c>
      <c r="I58" s="21">
        <f>H58*1.069</f>
        <v>54.92522</v>
      </c>
      <c r="J58" s="265">
        <f>(I58*$J$7)+I58</f>
        <v>58.220733200000005</v>
      </c>
      <c r="K58" s="265">
        <v>61.713977192</v>
      </c>
      <c r="L58" s="265">
        <f>(K58*M58)+K58</f>
        <v>65.41681582352</v>
      </c>
      <c r="M58" s="172">
        <f>$M$6</f>
        <v>0.06</v>
      </c>
      <c r="N58" s="265">
        <f t="shared" si="22"/>
        <v>69.34182477293119</v>
      </c>
      <c r="O58" s="265">
        <f>(N58*$O$6)+N58</f>
        <v>73.50233425930706</v>
      </c>
    </row>
    <row r="59" spans="1:15" ht="13.5">
      <c r="A59" s="3" t="s">
        <v>969</v>
      </c>
      <c r="B59" s="24">
        <v>6296.4</v>
      </c>
      <c r="C59" s="7">
        <f>B59*1.1</f>
        <v>6926.04</v>
      </c>
      <c r="D59" s="7">
        <f>C59*1.13</f>
        <v>7826.425199999999</v>
      </c>
      <c r="E59" s="7">
        <f>D59*1.1</f>
        <v>8609.06772</v>
      </c>
      <c r="F59" s="4">
        <f>(E59-D59)/D59</f>
        <v>0.10000000000000006</v>
      </c>
      <c r="G59" s="21">
        <v>9948.638657232</v>
      </c>
      <c r="H59" s="21">
        <v>10545.56</v>
      </c>
      <c r="I59" s="21">
        <f>H59*1.069</f>
        <v>11273.20364</v>
      </c>
      <c r="J59" s="265">
        <f>(I59*$J$7)+I59</f>
        <v>11949.5958584</v>
      </c>
      <c r="K59" s="265">
        <v>12666.571609904</v>
      </c>
      <c r="L59" s="265">
        <f>(K59*M59)+K59</f>
        <v>13426.56590649824</v>
      </c>
      <c r="M59" s="172">
        <f>$M$6</f>
        <v>0.06</v>
      </c>
      <c r="N59" s="265">
        <f t="shared" si="22"/>
        <v>14232.159860888134</v>
      </c>
      <c r="O59" s="265">
        <f>(N59*$O$6)+N59</f>
        <v>15086.089452541422</v>
      </c>
    </row>
    <row r="60" spans="1:13" ht="81">
      <c r="A60" s="538" t="s">
        <v>1241</v>
      </c>
      <c r="B60" s="24"/>
      <c r="F60" s="4"/>
      <c r="G60" s="92"/>
      <c r="H60" s="23"/>
      <c r="I60" s="21"/>
      <c r="J60" s="265"/>
      <c r="K60" s="265"/>
      <c r="L60" s="265"/>
      <c r="M60" s="172"/>
    </row>
    <row r="61" spans="2:13" ht="13.5">
      <c r="B61" s="24"/>
      <c r="F61" s="4"/>
      <c r="G61" s="92"/>
      <c r="H61" s="23"/>
      <c r="I61" s="21"/>
      <c r="J61" s="265"/>
      <c r="K61" s="265"/>
      <c r="L61" s="265"/>
      <c r="M61" s="172"/>
    </row>
    <row r="62" spans="1:13" s="2" customFormat="1" ht="13.5">
      <c r="A62" s="2" t="s">
        <v>750</v>
      </c>
      <c r="C62" s="17"/>
      <c r="D62" s="17"/>
      <c r="E62" s="17"/>
      <c r="G62" s="92"/>
      <c r="H62" s="23"/>
      <c r="I62" s="21"/>
      <c r="J62" s="265"/>
      <c r="K62" s="265"/>
      <c r="L62" s="265"/>
      <c r="M62" s="172"/>
    </row>
    <row r="63" spans="1:14" ht="13.5" hidden="1">
      <c r="A63" s="3" t="s">
        <v>745</v>
      </c>
      <c r="D63" s="7" t="s">
        <v>751</v>
      </c>
      <c r="E63" s="7">
        <v>1500</v>
      </c>
      <c r="F63" s="246">
        <v>0</v>
      </c>
      <c r="G63" s="21">
        <v>1733.4</v>
      </c>
      <c r="H63" s="21">
        <v>1837.4</v>
      </c>
      <c r="I63" s="21">
        <f>H63*1.069</f>
        <v>1964.1806</v>
      </c>
      <c r="J63" s="265">
        <f aca="true" t="shared" si="23" ref="J63:J93">(I63*$J$7)+I63</f>
        <v>2082.0314359999998</v>
      </c>
      <c r="K63" s="265">
        <v>2206.9533221599995</v>
      </c>
      <c r="L63" s="265"/>
      <c r="M63" s="172">
        <f>(J63-I63)/I63</f>
        <v>0.05999999999999992</v>
      </c>
      <c r="N63" s="3">
        <f t="shared" si="22"/>
        <v>0</v>
      </c>
    </row>
    <row r="64" spans="1:15" ht="13.5">
      <c r="A64" s="3" t="s">
        <v>745</v>
      </c>
      <c r="D64" s="7" t="s">
        <v>751</v>
      </c>
      <c r="E64" s="7">
        <v>1500</v>
      </c>
      <c r="F64" s="246">
        <v>0</v>
      </c>
      <c r="G64" s="21">
        <v>1733.4</v>
      </c>
      <c r="H64" s="21">
        <v>1837.4</v>
      </c>
      <c r="I64" s="21">
        <f aca="true" t="shared" si="24" ref="I64:I70">H64*1.069</f>
        <v>1964.1806</v>
      </c>
      <c r="J64" s="265">
        <f t="shared" si="23"/>
        <v>2082.0314359999998</v>
      </c>
      <c r="K64" s="265">
        <v>2206.9533221599995</v>
      </c>
      <c r="L64" s="265">
        <f aca="true" t="shared" si="25" ref="L64:L95">(K64*M64)+K64</f>
        <v>2339.3705214895995</v>
      </c>
      <c r="M64" s="172">
        <f aca="true" t="shared" si="26" ref="M64:M93">$M$6</f>
        <v>0.06</v>
      </c>
      <c r="N64" s="265">
        <f t="shared" si="22"/>
        <v>2479.7327527789753</v>
      </c>
      <c r="O64" s="265">
        <f aca="true" t="shared" si="27" ref="O64:O95">(N64*$O$6)+N64</f>
        <v>2628.516717945714</v>
      </c>
    </row>
    <row r="65" spans="1:15" ht="13.5">
      <c r="A65" s="3" t="s">
        <v>1172</v>
      </c>
      <c r="D65" s="7" t="s">
        <v>751</v>
      </c>
      <c r="E65" s="7">
        <v>1500</v>
      </c>
      <c r="F65" s="246">
        <v>0</v>
      </c>
      <c r="G65" s="21">
        <v>1733.4</v>
      </c>
      <c r="H65" s="21">
        <v>1837.4</v>
      </c>
      <c r="I65" s="21">
        <f t="shared" si="24"/>
        <v>1964.1806</v>
      </c>
      <c r="J65" s="265">
        <f t="shared" si="23"/>
        <v>2082.0314359999998</v>
      </c>
      <c r="K65" s="265">
        <v>2206.9533221599995</v>
      </c>
      <c r="L65" s="265">
        <f t="shared" si="25"/>
        <v>2339.3705214895995</v>
      </c>
      <c r="M65" s="172">
        <f t="shared" si="26"/>
        <v>0.06</v>
      </c>
      <c r="N65" s="265">
        <f t="shared" si="22"/>
        <v>2479.7327527789753</v>
      </c>
      <c r="O65" s="265">
        <f t="shared" si="27"/>
        <v>2628.516717945714</v>
      </c>
    </row>
    <row r="66" spans="1:15" ht="13.5">
      <c r="A66" s="3" t="s">
        <v>1049</v>
      </c>
      <c r="D66" s="7" t="s">
        <v>751</v>
      </c>
      <c r="E66" s="7">
        <v>1500</v>
      </c>
      <c r="F66" s="246">
        <v>0</v>
      </c>
      <c r="G66" s="21">
        <v>1733.4</v>
      </c>
      <c r="H66" s="21">
        <v>1837.4</v>
      </c>
      <c r="I66" s="21">
        <f t="shared" si="24"/>
        <v>1964.1806</v>
      </c>
      <c r="J66" s="265">
        <f t="shared" si="23"/>
        <v>2082.0314359999998</v>
      </c>
      <c r="K66" s="265">
        <v>2206.9533221599995</v>
      </c>
      <c r="L66" s="265">
        <f t="shared" si="25"/>
        <v>2339.3705214895995</v>
      </c>
      <c r="M66" s="172">
        <f t="shared" si="26"/>
        <v>0.06</v>
      </c>
      <c r="N66" s="265">
        <f t="shared" si="22"/>
        <v>2479.7327527789753</v>
      </c>
      <c r="O66" s="265">
        <f t="shared" si="27"/>
        <v>2628.516717945714</v>
      </c>
    </row>
    <row r="67" spans="1:15" ht="13.5">
      <c r="A67" s="3" t="s">
        <v>1050</v>
      </c>
      <c r="D67" s="7" t="s">
        <v>751</v>
      </c>
      <c r="E67" s="7">
        <v>20</v>
      </c>
      <c r="F67" s="246">
        <v>0</v>
      </c>
      <c r="G67" s="21">
        <v>23.112000000000002</v>
      </c>
      <c r="H67" s="21">
        <v>24.5</v>
      </c>
      <c r="I67" s="21">
        <f t="shared" si="24"/>
        <v>26.1905</v>
      </c>
      <c r="J67" s="265">
        <f t="shared" si="23"/>
        <v>27.76193</v>
      </c>
      <c r="K67" s="265">
        <v>29.4276458</v>
      </c>
      <c r="L67" s="265">
        <f t="shared" si="25"/>
        <v>31.193304548</v>
      </c>
      <c r="M67" s="172">
        <f t="shared" si="26"/>
        <v>0.06</v>
      </c>
      <c r="N67" s="265">
        <f t="shared" si="22"/>
        <v>33.06490282088</v>
      </c>
      <c r="O67" s="265">
        <f t="shared" si="27"/>
        <v>35.0487969901328</v>
      </c>
    </row>
    <row r="68" spans="1:15" ht="13.5">
      <c r="A68" s="3" t="s">
        <v>1051</v>
      </c>
      <c r="D68" s="7" t="s">
        <v>751</v>
      </c>
      <c r="E68" s="7">
        <v>35</v>
      </c>
      <c r="F68" s="246">
        <v>0</v>
      </c>
      <c r="G68" s="21">
        <v>40.446000000000005</v>
      </c>
      <c r="H68" s="21">
        <v>42.87</v>
      </c>
      <c r="I68" s="21">
        <f t="shared" si="24"/>
        <v>45.82803</v>
      </c>
      <c r="J68" s="265">
        <f t="shared" si="23"/>
        <v>48.577711799999996</v>
      </c>
      <c r="K68" s="265">
        <v>51.492374508</v>
      </c>
      <c r="L68" s="265">
        <f t="shared" si="25"/>
        <v>54.581916978479995</v>
      </c>
      <c r="M68" s="172">
        <f t="shared" si="26"/>
        <v>0.06</v>
      </c>
      <c r="N68" s="265">
        <f t="shared" si="22"/>
        <v>57.85683199718879</v>
      </c>
      <c r="O68" s="265">
        <f t="shared" si="27"/>
        <v>61.32824191702012</v>
      </c>
    </row>
    <row r="69" spans="1:15" ht="13.5">
      <c r="A69" s="3" t="s">
        <v>1052</v>
      </c>
      <c r="D69" s="7" t="s">
        <v>751</v>
      </c>
      <c r="E69" s="7">
        <v>3000</v>
      </c>
      <c r="F69" s="246">
        <v>0</v>
      </c>
      <c r="G69" s="21">
        <v>3466.8</v>
      </c>
      <c r="H69" s="21">
        <v>3674.81</v>
      </c>
      <c r="I69" s="21">
        <f t="shared" si="24"/>
        <v>3928.37189</v>
      </c>
      <c r="J69" s="265">
        <f t="shared" si="23"/>
        <v>4164.0742033999995</v>
      </c>
      <c r="K69" s="265">
        <v>4413.9186556039995</v>
      </c>
      <c r="L69" s="265">
        <f t="shared" si="25"/>
        <v>4678.753774940239</v>
      </c>
      <c r="M69" s="172">
        <f t="shared" si="26"/>
        <v>0.06</v>
      </c>
      <c r="N69" s="265">
        <f t="shared" si="22"/>
        <v>4959.479001436654</v>
      </c>
      <c r="O69" s="265">
        <f t="shared" si="27"/>
        <v>5257.047741522852</v>
      </c>
    </row>
    <row r="70" spans="1:15" ht="13.5">
      <c r="A70" s="3" t="s">
        <v>995</v>
      </c>
      <c r="D70" s="7" t="s">
        <v>751</v>
      </c>
      <c r="E70" s="7">
        <v>4000</v>
      </c>
      <c r="F70" s="246">
        <v>0</v>
      </c>
      <c r="G70" s="21">
        <v>4622.400000000001</v>
      </c>
      <c r="H70" s="21">
        <v>4899.74</v>
      </c>
      <c r="I70" s="21">
        <f t="shared" si="24"/>
        <v>5237.8220599999995</v>
      </c>
      <c r="J70" s="265">
        <f t="shared" si="23"/>
        <v>5552.091383599999</v>
      </c>
      <c r="K70" s="265">
        <v>5885.216866615999</v>
      </c>
      <c r="L70" s="265">
        <f t="shared" si="25"/>
        <v>6238.329878612959</v>
      </c>
      <c r="M70" s="172">
        <f t="shared" si="26"/>
        <v>0.06</v>
      </c>
      <c r="N70" s="265">
        <f t="shared" si="22"/>
        <v>6612.629671329736</v>
      </c>
      <c r="O70" s="265">
        <f t="shared" si="27"/>
        <v>7009.38745160952</v>
      </c>
    </row>
    <row r="71" spans="1:15" ht="13.5">
      <c r="A71" s="3" t="s">
        <v>996</v>
      </c>
      <c r="H71" s="3" t="s">
        <v>997</v>
      </c>
      <c r="I71" s="66">
        <v>1000</v>
      </c>
      <c r="J71" s="265">
        <f t="shared" si="23"/>
        <v>1060</v>
      </c>
      <c r="K71" s="265">
        <v>1123.6</v>
      </c>
      <c r="L71" s="265">
        <f t="shared" si="25"/>
        <v>1191.0159999999998</v>
      </c>
      <c r="M71" s="4">
        <f t="shared" si="26"/>
        <v>0.06</v>
      </c>
      <c r="N71" s="265">
        <f t="shared" si="22"/>
        <v>1262.4769599999997</v>
      </c>
      <c r="O71" s="265">
        <f t="shared" si="27"/>
        <v>1338.2255775999997</v>
      </c>
    </row>
    <row r="72" spans="1:15" ht="13.5">
      <c r="A72" s="3" t="s">
        <v>998</v>
      </c>
      <c r="H72" s="3" t="s">
        <v>997</v>
      </c>
      <c r="I72" s="66">
        <v>50</v>
      </c>
      <c r="J72" s="265">
        <f t="shared" si="23"/>
        <v>53</v>
      </c>
      <c r="K72" s="265">
        <v>56.18</v>
      </c>
      <c r="L72" s="265">
        <f t="shared" si="25"/>
        <v>59.5508</v>
      </c>
      <c r="M72" s="4">
        <f t="shared" si="26"/>
        <v>0.06</v>
      </c>
      <c r="N72" s="265">
        <f t="shared" si="22"/>
        <v>63.123848</v>
      </c>
      <c r="O72" s="265">
        <f t="shared" si="27"/>
        <v>66.91127888</v>
      </c>
    </row>
    <row r="73" spans="1:15" ht="13.5">
      <c r="A73" s="3" t="s">
        <v>999</v>
      </c>
      <c r="H73" s="3" t="s">
        <v>997</v>
      </c>
      <c r="I73" s="66">
        <v>500</v>
      </c>
      <c r="J73" s="265">
        <f t="shared" si="23"/>
        <v>530</v>
      </c>
      <c r="K73" s="265">
        <v>561.8</v>
      </c>
      <c r="L73" s="265">
        <f t="shared" si="25"/>
        <v>595.5079999999999</v>
      </c>
      <c r="M73" s="4">
        <f t="shared" si="26"/>
        <v>0.06</v>
      </c>
      <c r="N73" s="265">
        <f t="shared" si="22"/>
        <v>631.2384799999999</v>
      </c>
      <c r="O73" s="265">
        <f t="shared" si="27"/>
        <v>669.1127887999999</v>
      </c>
    </row>
    <row r="74" spans="1:15" ht="13.5">
      <c r="A74" s="3" t="s">
        <v>1000</v>
      </c>
      <c r="H74" s="3" t="s">
        <v>997</v>
      </c>
      <c r="I74" s="66">
        <v>10000</v>
      </c>
      <c r="J74" s="265">
        <f t="shared" si="23"/>
        <v>10600</v>
      </c>
      <c r="K74" s="265">
        <v>11236</v>
      </c>
      <c r="L74" s="265">
        <f t="shared" si="25"/>
        <v>11910.16</v>
      </c>
      <c r="M74" s="4">
        <f t="shared" si="26"/>
        <v>0.06</v>
      </c>
      <c r="N74" s="265">
        <f t="shared" si="22"/>
        <v>12624.7696</v>
      </c>
      <c r="O74" s="265">
        <f t="shared" si="27"/>
        <v>13382.255776</v>
      </c>
    </row>
    <row r="75" spans="1:15" ht="13.5">
      <c r="A75" s="3" t="s">
        <v>1001</v>
      </c>
      <c r="H75" s="3" t="s">
        <v>997</v>
      </c>
      <c r="I75" s="66">
        <v>1000</v>
      </c>
      <c r="J75" s="265">
        <f t="shared" si="23"/>
        <v>1060</v>
      </c>
      <c r="K75" s="265">
        <v>1123.6</v>
      </c>
      <c r="L75" s="265">
        <f t="shared" si="25"/>
        <v>1191.0159999999998</v>
      </c>
      <c r="M75" s="4">
        <f t="shared" si="26"/>
        <v>0.06</v>
      </c>
      <c r="N75" s="265">
        <f t="shared" si="22"/>
        <v>1262.4769599999997</v>
      </c>
      <c r="O75" s="265">
        <f t="shared" si="27"/>
        <v>1338.2255775999997</v>
      </c>
    </row>
    <row r="76" spans="1:15" ht="13.5">
      <c r="A76" s="3" t="s">
        <v>1002</v>
      </c>
      <c r="H76" s="3" t="s">
        <v>997</v>
      </c>
      <c r="I76" s="66">
        <v>2000</v>
      </c>
      <c r="J76" s="265">
        <f t="shared" si="23"/>
        <v>2120</v>
      </c>
      <c r="K76" s="265">
        <v>2247.2</v>
      </c>
      <c r="L76" s="265">
        <f t="shared" si="25"/>
        <v>2382.0319999999997</v>
      </c>
      <c r="M76" s="4">
        <f t="shared" si="26"/>
        <v>0.06</v>
      </c>
      <c r="N76" s="265">
        <f t="shared" si="22"/>
        <v>2524.9539199999995</v>
      </c>
      <c r="O76" s="265">
        <f t="shared" si="27"/>
        <v>2676.4511551999994</v>
      </c>
    </row>
    <row r="77" spans="1:15" ht="13.5">
      <c r="A77" s="3" t="s">
        <v>1003</v>
      </c>
      <c r="H77" s="3" t="s">
        <v>997</v>
      </c>
      <c r="I77" s="66">
        <v>200</v>
      </c>
      <c r="J77" s="265">
        <f t="shared" si="23"/>
        <v>212</v>
      </c>
      <c r="K77" s="265">
        <v>224.72</v>
      </c>
      <c r="L77" s="265">
        <f t="shared" si="25"/>
        <v>238.2032</v>
      </c>
      <c r="M77" s="4">
        <f t="shared" si="26"/>
        <v>0.06</v>
      </c>
      <c r="N77" s="265">
        <f t="shared" si="22"/>
        <v>252.495392</v>
      </c>
      <c r="O77" s="265">
        <f t="shared" si="27"/>
        <v>267.64511552</v>
      </c>
    </row>
    <row r="78" spans="1:15" ht="13.5">
      <c r="A78" s="3" t="s">
        <v>1004</v>
      </c>
      <c r="H78" s="3" t="s">
        <v>997</v>
      </c>
      <c r="I78" s="66">
        <v>500</v>
      </c>
      <c r="J78" s="265">
        <f t="shared" si="23"/>
        <v>530</v>
      </c>
      <c r="K78" s="265">
        <v>561.8</v>
      </c>
      <c r="L78" s="265">
        <f t="shared" si="25"/>
        <v>595.5079999999999</v>
      </c>
      <c r="M78" s="4">
        <f t="shared" si="26"/>
        <v>0.06</v>
      </c>
      <c r="N78" s="265">
        <f t="shared" si="22"/>
        <v>631.2384799999999</v>
      </c>
      <c r="O78" s="265">
        <f t="shared" si="27"/>
        <v>669.1127887999999</v>
      </c>
    </row>
    <row r="79" spans="1:15" ht="13.5">
      <c r="A79" s="3" t="s">
        <v>1005</v>
      </c>
      <c r="H79" s="3" t="s">
        <v>997</v>
      </c>
      <c r="I79" s="66">
        <v>10000</v>
      </c>
      <c r="J79" s="265">
        <f t="shared" si="23"/>
        <v>10600</v>
      </c>
      <c r="K79" s="265">
        <v>11236</v>
      </c>
      <c r="L79" s="265">
        <f t="shared" si="25"/>
        <v>11910.16</v>
      </c>
      <c r="M79" s="4">
        <f t="shared" si="26"/>
        <v>0.06</v>
      </c>
      <c r="N79" s="265">
        <f t="shared" si="22"/>
        <v>12624.7696</v>
      </c>
      <c r="O79" s="265">
        <f t="shared" si="27"/>
        <v>13382.255776</v>
      </c>
    </row>
    <row r="80" spans="1:15" ht="13.5">
      <c r="A80" s="3" t="s">
        <v>1006</v>
      </c>
      <c r="H80" s="3" t="s">
        <v>997</v>
      </c>
      <c r="I80" s="66">
        <v>2000</v>
      </c>
      <c r="J80" s="265">
        <f t="shared" si="23"/>
        <v>2120</v>
      </c>
      <c r="K80" s="265">
        <v>2247.2</v>
      </c>
      <c r="L80" s="265">
        <f t="shared" si="25"/>
        <v>2382.0319999999997</v>
      </c>
      <c r="M80" s="4">
        <f t="shared" si="26"/>
        <v>0.06</v>
      </c>
      <c r="N80" s="265">
        <f t="shared" si="22"/>
        <v>2524.9539199999995</v>
      </c>
      <c r="O80" s="265">
        <f t="shared" si="27"/>
        <v>2676.4511551999994</v>
      </c>
    </row>
    <row r="81" spans="1:15" ht="13.5">
      <c r="A81" s="3" t="s">
        <v>1007</v>
      </c>
      <c r="H81" s="3" t="s">
        <v>997</v>
      </c>
      <c r="I81" s="66">
        <v>10000</v>
      </c>
      <c r="J81" s="265">
        <f t="shared" si="23"/>
        <v>10600</v>
      </c>
      <c r="K81" s="265">
        <v>11236</v>
      </c>
      <c r="L81" s="265">
        <f t="shared" si="25"/>
        <v>11910.16</v>
      </c>
      <c r="M81" s="4">
        <f t="shared" si="26"/>
        <v>0.06</v>
      </c>
      <c r="N81" s="265">
        <f t="shared" si="22"/>
        <v>12624.7696</v>
      </c>
      <c r="O81" s="265">
        <f t="shared" si="27"/>
        <v>13382.255776</v>
      </c>
    </row>
    <row r="82" spans="1:15" ht="13.5">
      <c r="A82" s="3" t="s">
        <v>1173</v>
      </c>
      <c r="H82" s="3" t="s">
        <v>997</v>
      </c>
      <c r="I82" s="66">
        <v>100</v>
      </c>
      <c r="J82" s="265">
        <f t="shared" si="23"/>
        <v>106</v>
      </c>
      <c r="K82" s="265">
        <v>112.36</v>
      </c>
      <c r="L82" s="265">
        <f t="shared" si="25"/>
        <v>119.1016</v>
      </c>
      <c r="M82" s="4">
        <f t="shared" si="26"/>
        <v>0.06</v>
      </c>
      <c r="N82" s="265">
        <f t="shared" si="22"/>
        <v>126.247696</v>
      </c>
      <c r="O82" s="265">
        <f t="shared" si="27"/>
        <v>133.82255776</v>
      </c>
    </row>
    <row r="83" spans="1:15" ht="13.5">
      <c r="A83" s="3" t="s">
        <v>1008</v>
      </c>
      <c r="H83" s="3" t="s">
        <v>997</v>
      </c>
      <c r="I83" s="66">
        <v>200</v>
      </c>
      <c r="J83" s="265">
        <f t="shared" si="23"/>
        <v>212</v>
      </c>
      <c r="K83" s="265">
        <v>224.72</v>
      </c>
      <c r="L83" s="265">
        <f t="shared" si="25"/>
        <v>238.2032</v>
      </c>
      <c r="M83" s="4">
        <f t="shared" si="26"/>
        <v>0.06</v>
      </c>
      <c r="N83" s="265">
        <f t="shared" si="22"/>
        <v>252.495392</v>
      </c>
      <c r="O83" s="265">
        <f t="shared" si="27"/>
        <v>267.64511552</v>
      </c>
    </row>
    <row r="84" spans="1:15" ht="13.5">
      <c r="A84" s="3" t="s">
        <v>1009</v>
      </c>
      <c r="H84" s="3" t="s">
        <v>997</v>
      </c>
      <c r="I84" s="66">
        <v>50</v>
      </c>
      <c r="J84" s="265">
        <f t="shared" si="23"/>
        <v>53</v>
      </c>
      <c r="K84" s="265">
        <v>56.18</v>
      </c>
      <c r="L84" s="265">
        <f t="shared" si="25"/>
        <v>59.5508</v>
      </c>
      <c r="M84" s="4">
        <f t="shared" si="26"/>
        <v>0.06</v>
      </c>
      <c r="N84" s="265">
        <f t="shared" si="22"/>
        <v>63.123848</v>
      </c>
      <c r="O84" s="265">
        <f t="shared" si="27"/>
        <v>66.91127888</v>
      </c>
    </row>
    <row r="85" spans="1:15" ht="13.5">
      <c r="A85" s="3" t="s">
        <v>1010</v>
      </c>
      <c r="H85" s="3" t="s">
        <v>997</v>
      </c>
      <c r="I85" s="66">
        <v>50</v>
      </c>
      <c r="J85" s="265">
        <f t="shared" si="23"/>
        <v>53</v>
      </c>
      <c r="K85" s="265">
        <v>56.18</v>
      </c>
      <c r="L85" s="265">
        <f t="shared" si="25"/>
        <v>59.5508</v>
      </c>
      <c r="M85" s="4">
        <f t="shared" si="26"/>
        <v>0.06</v>
      </c>
      <c r="N85" s="265">
        <f t="shared" si="22"/>
        <v>63.123848</v>
      </c>
      <c r="O85" s="265">
        <f t="shared" si="27"/>
        <v>66.91127888</v>
      </c>
    </row>
    <row r="86" spans="1:15" ht="13.5">
      <c r="A86" s="3" t="s">
        <v>1011</v>
      </c>
      <c r="H86" s="3" t="s">
        <v>997</v>
      </c>
      <c r="I86" s="66">
        <v>250</v>
      </c>
      <c r="J86" s="265">
        <f t="shared" si="23"/>
        <v>265</v>
      </c>
      <c r="K86" s="265">
        <v>280.9</v>
      </c>
      <c r="L86" s="265">
        <f t="shared" si="25"/>
        <v>297.75399999999996</v>
      </c>
      <c r="M86" s="4">
        <f t="shared" si="26"/>
        <v>0.06</v>
      </c>
      <c r="N86" s="265">
        <f t="shared" si="22"/>
        <v>315.61923999999993</v>
      </c>
      <c r="O86" s="265">
        <f t="shared" si="27"/>
        <v>334.55639439999993</v>
      </c>
    </row>
    <row r="87" spans="1:15" ht="13.5">
      <c r="A87" s="3" t="s">
        <v>1012</v>
      </c>
      <c r="H87" s="3" t="s">
        <v>997</v>
      </c>
      <c r="I87" s="66">
        <v>100</v>
      </c>
      <c r="J87" s="265">
        <f t="shared" si="23"/>
        <v>106</v>
      </c>
      <c r="K87" s="265">
        <v>112.36</v>
      </c>
      <c r="L87" s="265">
        <f t="shared" si="25"/>
        <v>119.1016</v>
      </c>
      <c r="M87" s="4">
        <f t="shared" si="26"/>
        <v>0.06</v>
      </c>
      <c r="N87" s="265">
        <f t="shared" si="22"/>
        <v>126.247696</v>
      </c>
      <c r="O87" s="265">
        <f t="shared" si="27"/>
        <v>133.82255776</v>
      </c>
    </row>
    <row r="88" spans="1:15" ht="13.5">
      <c r="A88" s="3" t="s">
        <v>746</v>
      </c>
      <c r="D88" s="7" t="s">
        <v>751</v>
      </c>
      <c r="E88" s="7">
        <v>1500</v>
      </c>
      <c r="F88" s="246">
        <v>0</v>
      </c>
      <c r="G88" s="21">
        <v>1733.4</v>
      </c>
      <c r="H88" s="21">
        <v>1837.4</v>
      </c>
      <c r="I88" s="21">
        <f>H88*1.069</f>
        <v>1964.1806</v>
      </c>
      <c r="J88" s="265">
        <f t="shared" si="23"/>
        <v>2082.0314359999998</v>
      </c>
      <c r="K88" s="265">
        <v>2206.9533221599995</v>
      </c>
      <c r="L88" s="265">
        <f t="shared" si="25"/>
        <v>2339.3705214895995</v>
      </c>
      <c r="M88" s="172">
        <f t="shared" si="26"/>
        <v>0.06</v>
      </c>
      <c r="N88" s="265">
        <f t="shared" si="22"/>
        <v>2479.7327527789753</v>
      </c>
      <c r="O88" s="265">
        <f t="shared" si="27"/>
        <v>2628.516717945714</v>
      </c>
    </row>
    <row r="89" spans="1:15" ht="13.5">
      <c r="A89" s="3" t="s">
        <v>747</v>
      </c>
      <c r="D89" s="7" t="s">
        <v>751</v>
      </c>
      <c r="E89" s="7">
        <v>1500</v>
      </c>
      <c r="F89" s="246">
        <v>0</v>
      </c>
      <c r="G89" s="21">
        <v>1733.4</v>
      </c>
      <c r="H89" s="21">
        <v>1837.4</v>
      </c>
      <c r="I89" s="21">
        <f aca="true" t="shared" si="28" ref="I89:I94">H89*1.069</f>
        <v>1964.1806</v>
      </c>
      <c r="J89" s="265">
        <f t="shared" si="23"/>
        <v>2082.0314359999998</v>
      </c>
      <c r="K89" s="265">
        <v>2206.9533221599995</v>
      </c>
      <c r="L89" s="265">
        <f t="shared" si="25"/>
        <v>2339.3705214895995</v>
      </c>
      <c r="M89" s="172">
        <f t="shared" si="26"/>
        <v>0.06</v>
      </c>
      <c r="N89" s="265">
        <f t="shared" si="22"/>
        <v>2479.7327527789753</v>
      </c>
      <c r="O89" s="265">
        <f t="shared" si="27"/>
        <v>2628.516717945714</v>
      </c>
    </row>
    <row r="90" spans="1:15" ht="13.5">
      <c r="A90" s="3" t="s">
        <v>1174</v>
      </c>
      <c r="D90" s="7" t="s">
        <v>751</v>
      </c>
      <c r="E90" s="7">
        <v>20</v>
      </c>
      <c r="F90" s="246">
        <v>0</v>
      </c>
      <c r="G90" s="21">
        <v>23.112000000000002</v>
      </c>
      <c r="H90" s="21">
        <v>24.5</v>
      </c>
      <c r="I90" s="21">
        <f t="shared" si="28"/>
        <v>26.1905</v>
      </c>
      <c r="J90" s="265">
        <f t="shared" si="23"/>
        <v>27.76193</v>
      </c>
      <c r="K90" s="265">
        <v>29.4276458</v>
      </c>
      <c r="L90" s="265">
        <f t="shared" si="25"/>
        <v>31.193304548</v>
      </c>
      <c r="M90" s="172">
        <f t="shared" si="26"/>
        <v>0.06</v>
      </c>
      <c r="N90" s="265">
        <f t="shared" si="22"/>
        <v>33.06490282088</v>
      </c>
      <c r="O90" s="265">
        <f t="shared" si="27"/>
        <v>35.0487969901328</v>
      </c>
    </row>
    <row r="91" spans="1:15" ht="13.5">
      <c r="A91" s="3" t="s">
        <v>1189</v>
      </c>
      <c r="D91" s="7" t="s">
        <v>751</v>
      </c>
      <c r="E91" s="7">
        <v>35</v>
      </c>
      <c r="F91" s="246">
        <v>0</v>
      </c>
      <c r="G91" s="21">
        <v>40.446000000000005</v>
      </c>
      <c r="H91" s="21">
        <v>42.87</v>
      </c>
      <c r="I91" s="21">
        <f t="shared" si="28"/>
        <v>45.82803</v>
      </c>
      <c r="J91" s="265">
        <f t="shared" si="23"/>
        <v>48.577711799999996</v>
      </c>
      <c r="K91" s="265">
        <v>51.492374508</v>
      </c>
      <c r="L91" s="265">
        <f t="shared" si="25"/>
        <v>54.581916978479995</v>
      </c>
      <c r="M91" s="172">
        <f t="shared" si="26"/>
        <v>0.06</v>
      </c>
      <c r="N91" s="265">
        <f>(L91*$N$6)+L91</f>
        <v>57.85683199718879</v>
      </c>
      <c r="O91" s="265">
        <f t="shared" si="27"/>
        <v>61.32824191702012</v>
      </c>
    </row>
    <row r="92" spans="1:15" ht="13.5">
      <c r="A92" s="3" t="s">
        <v>748</v>
      </c>
      <c r="D92" s="7" t="s">
        <v>751</v>
      </c>
      <c r="E92" s="7">
        <v>3000</v>
      </c>
      <c r="F92" s="246">
        <v>0</v>
      </c>
      <c r="G92" s="21">
        <v>3466.8</v>
      </c>
      <c r="H92" s="21">
        <v>3674.81</v>
      </c>
      <c r="I92" s="21">
        <f t="shared" si="28"/>
        <v>3928.37189</v>
      </c>
      <c r="J92" s="265">
        <f t="shared" si="23"/>
        <v>4164.0742033999995</v>
      </c>
      <c r="K92" s="265">
        <v>4413.9186556039995</v>
      </c>
      <c r="L92" s="265">
        <f t="shared" si="25"/>
        <v>4678.753774940239</v>
      </c>
      <c r="M92" s="172">
        <f t="shared" si="26"/>
        <v>0.06</v>
      </c>
      <c r="N92" s="265">
        <f t="shared" si="22"/>
        <v>4959.479001436654</v>
      </c>
      <c r="O92" s="265">
        <f t="shared" si="27"/>
        <v>5257.047741522852</v>
      </c>
    </row>
    <row r="93" spans="1:15" ht="13.5">
      <c r="A93" s="3" t="s">
        <v>749</v>
      </c>
      <c r="D93" s="7" t="s">
        <v>751</v>
      </c>
      <c r="E93" s="7">
        <v>4000</v>
      </c>
      <c r="F93" s="246">
        <v>0</v>
      </c>
      <c r="G93" s="21">
        <v>4622.400000000001</v>
      </c>
      <c r="H93" s="21">
        <v>4899.74</v>
      </c>
      <c r="I93" s="21">
        <f t="shared" si="28"/>
        <v>5237.8220599999995</v>
      </c>
      <c r="J93" s="265">
        <f t="shared" si="23"/>
        <v>5552.091383599999</v>
      </c>
      <c r="K93" s="265">
        <v>5885.216866615999</v>
      </c>
      <c r="L93" s="265">
        <f t="shared" si="25"/>
        <v>6238.329878612959</v>
      </c>
      <c r="M93" s="172">
        <f t="shared" si="26"/>
        <v>0.06</v>
      </c>
      <c r="N93" s="265">
        <f t="shared" si="22"/>
        <v>6612.629671329736</v>
      </c>
      <c r="O93" s="265">
        <f t="shared" si="27"/>
        <v>7009.38745160952</v>
      </c>
    </row>
    <row r="94" spans="1:16" s="2" customFormat="1" ht="13.5">
      <c r="A94" s="428" t="s">
        <v>1188</v>
      </c>
      <c r="B94" s="428"/>
      <c r="C94" s="429"/>
      <c r="D94" s="429" t="s">
        <v>751</v>
      </c>
      <c r="E94" s="429">
        <v>2000</v>
      </c>
      <c r="F94" s="523">
        <v>0</v>
      </c>
      <c r="G94" s="522">
        <v>2311.2000000000003</v>
      </c>
      <c r="H94" s="522">
        <v>2449.87</v>
      </c>
      <c r="I94" s="522">
        <f t="shared" si="28"/>
        <v>2618.9110299999998</v>
      </c>
      <c r="J94" s="431"/>
      <c r="K94" s="524">
        <v>147</v>
      </c>
      <c r="L94" s="524">
        <v>21</v>
      </c>
      <c r="M94" s="526">
        <f>(L94-K94)/K94</f>
        <v>-0.8571428571428571</v>
      </c>
      <c r="N94" s="524">
        <f t="shared" si="22"/>
        <v>22.26</v>
      </c>
      <c r="O94" s="524">
        <f t="shared" si="27"/>
        <v>23.5956</v>
      </c>
      <c r="P94" s="524"/>
    </row>
    <row r="95" spans="1:15" ht="13.5">
      <c r="A95" s="3" t="s">
        <v>1175</v>
      </c>
      <c r="K95" s="271">
        <v>10000</v>
      </c>
      <c r="L95" s="271">
        <f t="shared" si="25"/>
        <v>10600</v>
      </c>
      <c r="M95" s="4">
        <f>$M$6</f>
        <v>0.06</v>
      </c>
      <c r="N95" s="271">
        <f t="shared" si="22"/>
        <v>11236</v>
      </c>
      <c r="O95" s="271">
        <f t="shared" si="27"/>
        <v>11910.16</v>
      </c>
    </row>
    <row r="96" spans="3:13" s="428" customFormat="1" ht="13.5">
      <c r="C96" s="429"/>
      <c r="D96" s="429"/>
      <c r="E96" s="429"/>
      <c r="I96" s="429"/>
      <c r="J96" s="432"/>
      <c r="K96" s="525"/>
      <c r="L96" s="525"/>
      <c r="M96" s="433"/>
    </row>
    <row r="97" spans="1:13" s="428" customFormat="1" ht="81">
      <c r="A97" s="538" t="s">
        <v>1251</v>
      </c>
      <c r="C97" s="429"/>
      <c r="D97" s="429"/>
      <c r="E97" s="429"/>
      <c r="I97" s="429"/>
      <c r="J97" s="432"/>
      <c r="K97" s="525"/>
      <c r="L97" s="525"/>
      <c r="M97" s="433"/>
    </row>
    <row r="98" spans="1:13" s="428" customFormat="1" ht="13.5">
      <c r="A98" s="534"/>
      <c r="C98" s="429"/>
      <c r="D98" s="429"/>
      <c r="E98" s="429"/>
      <c r="I98" s="429"/>
      <c r="J98" s="432"/>
      <c r="K98" s="525"/>
      <c r="L98" s="525"/>
      <c r="M98" s="433"/>
    </row>
    <row r="99" spans="1:13" s="20" customFormat="1" ht="27">
      <c r="A99" s="703" t="s">
        <v>1170</v>
      </c>
      <c r="M99" s="43"/>
    </row>
    <row r="100" spans="1:13" s="20" customFormat="1" ht="13.5">
      <c r="A100" s="5"/>
      <c r="M100" s="43"/>
    </row>
  </sheetData>
  <sheetProtection/>
  <mergeCells count="1">
    <mergeCell ref="K1:P1"/>
  </mergeCells>
  <printOptions gridLines="1"/>
  <pageMargins left="0.9448818897637796" right="0.7086614173228347" top="0.7480314960629921" bottom="0.7480314960629921" header="0.31496062992125984" footer="0.31496062992125984"/>
  <pageSetup horizontalDpi="600" verticalDpi="600" orientation="landscape" scale="55" r:id="rId1"/>
  <rowBreaks count="1" manualBreakCount="1">
    <brk id="47" max="14" man="1"/>
  </rowBreaks>
</worksheet>
</file>

<file path=xl/worksheets/sheet7.xml><?xml version="1.0" encoding="utf-8"?>
<worksheet xmlns="http://schemas.openxmlformats.org/spreadsheetml/2006/main" xmlns:r="http://schemas.openxmlformats.org/officeDocument/2006/relationships">
  <dimension ref="A1:P105"/>
  <sheetViews>
    <sheetView zoomScale="90" zoomScaleNormal="90" zoomScalePageLayoutView="0" workbookViewId="0" topLeftCell="A1">
      <selection activeCell="K20" sqref="K20"/>
    </sheetView>
  </sheetViews>
  <sheetFormatPr defaultColWidth="9.140625" defaultRowHeight="12.75"/>
  <cols>
    <col min="1" max="1" width="58.421875" style="154" customWidth="1"/>
    <col min="2" max="2" width="24.57421875" style="154" hidden="1" customWidth="1"/>
    <col min="3" max="5" width="24.421875" style="154" hidden="1" customWidth="1"/>
    <col min="6" max="6" width="10.421875" style="154" hidden="1" customWidth="1"/>
    <col min="7" max="7" width="32.57421875" style="153" hidden="1" customWidth="1"/>
    <col min="8" max="8" width="21.57421875" style="153" hidden="1" customWidth="1"/>
    <col min="9" max="9" width="20.8515625" style="153" hidden="1" customWidth="1"/>
    <col min="10" max="10" width="17.421875" style="27" hidden="1" customWidth="1"/>
    <col min="11" max="12" width="17.421875" style="27" customWidth="1"/>
    <col min="13" max="13" width="16.57421875" style="154" customWidth="1"/>
    <col min="14" max="16" width="16.421875" style="154" customWidth="1"/>
    <col min="17" max="16384" width="9.140625" style="154" customWidth="1"/>
  </cols>
  <sheetData>
    <row r="1" spans="11:13" ht="17.25">
      <c r="K1" s="976" t="s">
        <v>1083</v>
      </c>
      <c r="L1" s="976"/>
      <c r="M1" s="976"/>
    </row>
    <row r="2" spans="1:12" s="325" customFormat="1" ht="17.25">
      <c r="A2" s="708" t="s">
        <v>20</v>
      </c>
      <c r="C2" s="326"/>
      <c r="D2" s="326"/>
      <c r="E2" s="326"/>
      <c r="G2" s="326"/>
      <c r="H2" s="326"/>
      <c r="I2" s="326"/>
      <c r="J2" s="33"/>
      <c r="K2" s="33"/>
      <c r="L2" s="33"/>
    </row>
    <row r="3" spans="1:12" s="327" customFormat="1" ht="15">
      <c r="A3" s="336" t="s">
        <v>1519</v>
      </c>
      <c r="G3" s="328"/>
      <c r="H3" s="328"/>
      <c r="I3" s="328"/>
      <c r="J3" s="254"/>
      <c r="K3" s="254"/>
      <c r="L3" s="254"/>
    </row>
    <row r="4" spans="7:12" s="327" customFormat="1" ht="15">
      <c r="G4" s="328"/>
      <c r="H4" s="328"/>
      <c r="I4" s="328"/>
      <c r="J4" s="254"/>
      <c r="K4" s="254"/>
      <c r="L4" s="254"/>
    </row>
    <row r="5" spans="1:12" s="327" customFormat="1" ht="15">
      <c r="A5" s="336" t="s">
        <v>170</v>
      </c>
      <c r="G5" s="328"/>
      <c r="H5" s="328"/>
      <c r="I5" s="328"/>
      <c r="J5" s="254"/>
      <c r="K5" s="254"/>
      <c r="L5" s="254"/>
    </row>
    <row r="6" spans="1:12" s="327" customFormat="1" ht="15">
      <c r="A6" s="329"/>
      <c r="B6" s="329"/>
      <c r="G6" s="328"/>
      <c r="H6" s="328"/>
      <c r="I6" s="328"/>
      <c r="J6" s="254"/>
      <c r="K6" s="254"/>
      <c r="L6" s="254"/>
    </row>
    <row r="7" spans="1:2" ht="15">
      <c r="A7" s="189" t="s">
        <v>311</v>
      </c>
      <c r="B7" s="330"/>
    </row>
    <row r="8" spans="1:16" s="331" customFormat="1" ht="49.5" customHeight="1">
      <c r="A8" s="331" t="s">
        <v>171</v>
      </c>
      <c r="B8" s="331" t="s">
        <v>25</v>
      </c>
      <c r="C8" s="332" t="s">
        <v>370</v>
      </c>
      <c r="D8" s="332" t="s">
        <v>529</v>
      </c>
      <c r="E8" s="332" t="s">
        <v>566</v>
      </c>
      <c r="F8" s="331" t="s">
        <v>372</v>
      </c>
      <c r="G8" s="333" t="s">
        <v>825</v>
      </c>
      <c r="H8" s="333" t="s">
        <v>921</v>
      </c>
      <c r="I8" s="333" t="s">
        <v>965</v>
      </c>
      <c r="J8" s="664" t="s">
        <v>1281</v>
      </c>
      <c r="K8" s="664" t="s">
        <v>1280</v>
      </c>
      <c r="L8" s="664" t="s">
        <v>1512</v>
      </c>
      <c r="M8" s="331" t="s">
        <v>372</v>
      </c>
      <c r="N8" s="660" t="s">
        <v>1513</v>
      </c>
      <c r="O8" s="661" t="s">
        <v>1514</v>
      </c>
      <c r="P8" s="661"/>
    </row>
    <row r="9" spans="3:15" s="331" customFormat="1" ht="13.5">
      <c r="C9" s="332"/>
      <c r="D9" s="332"/>
      <c r="E9" s="332"/>
      <c r="G9" s="333"/>
      <c r="H9" s="333"/>
      <c r="I9" s="333"/>
      <c r="J9" s="721">
        <v>0.06</v>
      </c>
      <c r="K9" s="722"/>
      <c r="L9" s="722"/>
      <c r="M9" s="721">
        <v>0.06</v>
      </c>
      <c r="N9" s="721">
        <v>0.06</v>
      </c>
      <c r="O9" s="721">
        <v>0.06</v>
      </c>
    </row>
    <row r="10" spans="1:13" s="340" customFormat="1" ht="13.5">
      <c r="A10" s="329" t="s">
        <v>169</v>
      </c>
      <c r="B10" s="335" t="s">
        <v>366</v>
      </c>
      <c r="C10" s="331" t="s">
        <v>366</v>
      </c>
      <c r="D10" s="331" t="s">
        <v>366</v>
      </c>
      <c r="E10" s="331" t="s">
        <v>366</v>
      </c>
      <c r="F10" s="336" t="s">
        <v>371</v>
      </c>
      <c r="G10" s="337" t="s">
        <v>366</v>
      </c>
      <c r="H10" s="337" t="s">
        <v>366</v>
      </c>
      <c r="I10" s="338" t="s">
        <v>366</v>
      </c>
      <c r="J10" s="261" t="s">
        <v>366</v>
      </c>
      <c r="K10" s="261" t="s">
        <v>366</v>
      </c>
      <c r="L10" s="261" t="s">
        <v>366</v>
      </c>
      <c r="M10" s="339" t="s">
        <v>371</v>
      </c>
    </row>
    <row r="11" spans="1:15" s="331" customFormat="1" ht="13.5">
      <c r="A11" s="329" t="s">
        <v>172</v>
      </c>
      <c r="B11" s="329">
        <v>712.8000000000001</v>
      </c>
      <c r="C11" s="35">
        <f>B11*1.1</f>
        <v>784.0800000000002</v>
      </c>
      <c r="D11" s="35">
        <f>C11*1.12</f>
        <v>878.1696000000003</v>
      </c>
      <c r="E11" s="35">
        <f>D11*1.1</f>
        <v>965.9865600000004</v>
      </c>
      <c r="F11" s="334">
        <f>(E11-D11)/D11</f>
        <v>0.10000000000000009</v>
      </c>
      <c r="G11" s="341">
        <v>1116</v>
      </c>
      <c r="H11" s="175">
        <f>G11*1.06</f>
        <v>1182.96</v>
      </c>
      <c r="I11" s="342">
        <f>H11*1.069</f>
        <v>1264.58424</v>
      </c>
      <c r="J11" s="342">
        <f>(I11*$J$9)+I11</f>
        <v>1340.4592943999999</v>
      </c>
      <c r="K11" s="342">
        <v>1420.8868520639999</v>
      </c>
      <c r="L11" s="342">
        <f>(K11*M11)+K11</f>
        <v>1506.1400631878398</v>
      </c>
      <c r="M11" s="365">
        <f aca="true" t="shared" si="0" ref="M11:M40">$M$9</f>
        <v>0.06</v>
      </c>
      <c r="N11" s="342">
        <f>(L11*$N$9)+L11</f>
        <v>1596.5084669791102</v>
      </c>
      <c r="O11" s="342">
        <f>(N11*$O$9)+N11</f>
        <v>1692.2989749978567</v>
      </c>
    </row>
    <row r="12" spans="1:15" ht="13.5">
      <c r="A12" s="330" t="s">
        <v>1059</v>
      </c>
      <c r="B12" s="330"/>
      <c r="C12" s="27"/>
      <c r="D12" s="27"/>
      <c r="E12" s="27"/>
      <c r="F12" s="343"/>
      <c r="H12" s="66"/>
      <c r="I12" s="265"/>
      <c r="J12" s="265">
        <f>J11*0.6</f>
        <v>804.2755766399999</v>
      </c>
      <c r="K12" s="265">
        <v>852.5321112383999</v>
      </c>
      <c r="L12" s="265">
        <f>(K12*M12)+K12</f>
        <v>903.684037912704</v>
      </c>
      <c r="M12" s="172">
        <f t="shared" si="0"/>
        <v>0.06</v>
      </c>
      <c r="N12" s="265">
        <f aca="true" t="shared" si="1" ref="N12:N40">(L12*$N$9)+L12</f>
        <v>957.9050801874662</v>
      </c>
      <c r="O12" s="265">
        <f aca="true" t="shared" si="2" ref="O12:O40">(N12*$O$9)+N12</f>
        <v>1015.3793849987142</v>
      </c>
    </row>
    <row r="13" spans="1:15" ht="13.5">
      <c r="A13" s="330" t="s">
        <v>1060</v>
      </c>
      <c r="B13" s="330"/>
      <c r="C13" s="27"/>
      <c r="D13" s="27"/>
      <c r="E13" s="27"/>
      <c r="F13" s="343"/>
      <c r="H13" s="66"/>
      <c r="I13" s="265"/>
      <c r="J13" s="265">
        <f>J11*0.4</f>
        <v>536.1837177599999</v>
      </c>
      <c r="K13" s="265">
        <v>568.3547408256</v>
      </c>
      <c r="L13" s="265">
        <f>(K13*M13)+K13</f>
        <v>602.456025275136</v>
      </c>
      <c r="M13" s="172">
        <f t="shared" si="0"/>
        <v>0.06</v>
      </c>
      <c r="N13" s="265">
        <f t="shared" si="1"/>
        <v>638.6033867916441</v>
      </c>
      <c r="O13" s="265">
        <f t="shared" si="2"/>
        <v>676.9195899991428</v>
      </c>
    </row>
    <row r="14" spans="1:15" s="331" customFormat="1" ht="13.5">
      <c r="A14" s="329" t="s">
        <v>173</v>
      </c>
      <c r="B14" s="329">
        <v>831.6</v>
      </c>
      <c r="C14" s="35">
        <f aca="true" t="shared" si="3" ref="C14:C36">B14*1.1</f>
        <v>914.7600000000001</v>
      </c>
      <c r="D14" s="35">
        <f aca="true" t="shared" si="4" ref="D14:D38">C14*1.12</f>
        <v>1024.5312000000001</v>
      </c>
      <c r="E14" s="35">
        <f>D14*1.1</f>
        <v>1126.9843200000003</v>
      </c>
      <c r="F14" s="334">
        <f aca="true" t="shared" si="5" ref="F14:F36">(E14-D14)/D14</f>
        <v>0.10000000000000012</v>
      </c>
      <c r="G14" s="341">
        <v>1302</v>
      </c>
      <c r="H14" s="175">
        <f aca="true" t="shared" si="6" ref="H14:H36">G14*1.06</f>
        <v>1380.1200000000001</v>
      </c>
      <c r="I14" s="342">
        <f aca="true" t="shared" si="7" ref="I14:I38">H14*1.069</f>
        <v>1475.3482800000002</v>
      </c>
      <c r="J14" s="342">
        <f>(I14*$J$9)+I14</f>
        <v>1563.8691768</v>
      </c>
      <c r="K14" s="342">
        <v>1657.701327408</v>
      </c>
      <c r="L14" s="342">
        <f aca="true" t="shared" si="8" ref="L14:L75">(K14*M14)+K14</f>
        <v>1757.16340705248</v>
      </c>
      <c r="M14" s="365">
        <f t="shared" si="0"/>
        <v>0.06</v>
      </c>
      <c r="N14" s="265">
        <f t="shared" si="1"/>
        <v>1862.5932114756288</v>
      </c>
      <c r="O14" s="265">
        <f t="shared" si="2"/>
        <v>1974.3488041641665</v>
      </c>
    </row>
    <row r="15" spans="1:15" ht="13.5">
      <c r="A15" s="330" t="s">
        <v>1059</v>
      </c>
      <c r="B15" s="330"/>
      <c r="C15" s="27"/>
      <c r="D15" s="27"/>
      <c r="E15" s="27"/>
      <c r="F15" s="343"/>
      <c r="H15" s="66"/>
      <c r="I15" s="265"/>
      <c r="J15" s="265">
        <f>J14*0.6</f>
        <v>938.3215060800001</v>
      </c>
      <c r="K15" s="265">
        <v>994.6207964448</v>
      </c>
      <c r="L15" s="265">
        <f t="shared" si="8"/>
        <v>1054.2980442314881</v>
      </c>
      <c r="M15" s="172">
        <f t="shared" si="0"/>
        <v>0.06</v>
      </c>
      <c r="N15" s="265">
        <f t="shared" si="1"/>
        <v>1117.5559268853774</v>
      </c>
      <c r="O15" s="265">
        <f t="shared" si="2"/>
        <v>1184.6092824985</v>
      </c>
    </row>
    <row r="16" spans="1:15" ht="13.5">
      <c r="A16" s="330" t="s">
        <v>1060</v>
      </c>
      <c r="B16" s="330"/>
      <c r="C16" s="27"/>
      <c r="D16" s="27"/>
      <c r="E16" s="27"/>
      <c r="F16" s="343"/>
      <c r="H16" s="66"/>
      <c r="I16" s="265"/>
      <c r="J16" s="265">
        <f>J14*0.4</f>
        <v>625.54767072</v>
      </c>
      <c r="K16" s="265">
        <v>663.0805309632001</v>
      </c>
      <c r="L16" s="265">
        <f t="shared" si="8"/>
        <v>702.8653628209921</v>
      </c>
      <c r="M16" s="172">
        <f t="shared" si="0"/>
        <v>0.06</v>
      </c>
      <c r="N16" s="265">
        <f t="shared" si="1"/>
        <v>745.0372845902516</v>
      </c>
      <c r="O16" s="265">
        <f t="shared" si="2"/>
        <v>789.7395216656666</v>
      </c>
    </row>
    <row r="17" spans="1:15" s="331" customFormat="1" ht="13.5">
      <c r="A17" s="329" t="s">
        <v>174</v>
      </c>
      <c r="B17" s="329">
        <v>879.1200000000001</v>
      </c>
      <c r="C17" s="35">
        <f t="shared" si="3"/>
        <v>967.0320000000002</v>
      </c>
      <c r="D17" s="35">
        <f t="shared" si="4"/>
        <v>1083.0758400000002</v>
      </c>
      <c r="E17" s="35">
        <f aca="true" t="shared" si="9" ref="E17:E36">D17*1.1</f>
        <v>1191.3834240000003</v>
      </c>
      <c r="F17" s="334">
        <f t="shared" si="5"/>
        <v>0.1000000000000001</v>
      </c>
      <c r="G17" s="341">
        <v>1377</v>
      </c>
      <c r="H17" s="175">
        <f t="shared" si="6"/>
        <v>1459.6200000000001</v>
      </c>
      <c r="I17" s="342">
        <f t="shared" si="7"/>
        <v>1560.3337800000002</v>
      </c>
      <c r="J17" s="342">
        <f>(I17*$J$9)+I17</f>
        <v>1653.9538068000002</v>
      </c>
      <c r="K17" s="342">
        <v>1753.1910352080001</v>
      </c>
      <c r="L17" s="342">
        <f t="shared" si="8"/>
        <v>1858.38249732048</v>
      </c>
      <c r="M17" s="365">
        <f t="shared" si="0"/>
        <v>0.06</v>
      </c>
      <c r="N17" s="265">
        <f t="shared" si="1"/>
        <v>1969.885447159709</v>
      </c>
      <c r="O17" s="265">
        <f t="shared" si="2"/>
        <v>2088.0785739892917</v>
      </c>
    </row>
    <row r="18" spans="1:15" s="331" customFormat="1" ht="13.5">
      <c r="A18" s="330" t="s">
        <v>1059</v>
      </c>
      <c r="B18" s="329"/>
      <c r="C18" s="35"/>
      <c r="D18" s="35"/>
      <c r="E18" s="35"/>
      <c r="F18" s="334"/>
      <c r="G18" s="341"/>
      <c r="H18" s="175"/>
      <c r="I18" s="342"/>
      <c r="J18" s="265">
        <f>J17*0.6</f>
        <v>992.3722840800001</v>
      </c>
      <c r="K18" s="265">
        <v>1051.9146211248</v>
      </c>
      <c r="L18" s="265">
        <f t="shared" si="8"/>
        <v>1115.0294983922881</v>
      </c>
      <c r="M18" s="172">
        <f t="shared" si="0"/>
        <v>0.06</v>
      </c>
      <c r="N18" s="265">
        <f t="shared" si="1"/>
        <v>1181.9312682958255</v>
      </c>
      <c r="O18" s="265">
        <f t="shared" si="2"/>
        <v>1252.847144393575</v>
      </c>
    </row>
    <row r="19" spans="1:15" s="331" customFormat="1" ht="13.5">
      <c r="A19" s="330" t="s">
        <v>1060</v>
      </c>
      <c r="B19" s="329"/>
      <c r="C19" s="35"/>
      <c r="D19" s="35"/>
      <c r="E19" s="35"/>
      <c r="F19" s="334"/>
      <c r="G19" s="341"/>
      <c r="H19" s="175"/>
      <c r="I19" s="342"/>
      <c r="J19" s="265">
        <f>J17*0.4</f>
        <v>661.5815227200001</v>
      </c>
      <c r="K19" s="265">
        <v>701.2764140832</v>
      </c>
      <c r="L19" s="265">
        <f t="shared" si="8"/>
        <v>743.352998928192</v>
      </c>
      <c r="M19" s="172">
        <f t="shared" si="0"/>
        <v>0.06</v>
      </c>
      <c r="N19" s="265">
        <f t="shared" si="1"/>
        <v>787.9541788638836</v>
      </c>
      <c r="O19" s="265">
        <f t="shared" si="2"/>
        <v>835.2314295957166</v>
      </c>
    </row>
    <row r="20" spans="1:15" s="331" customFormat="1" ht="13.5">
      <c r="A20" s="329" t="s">
        <v>175</v>
      </c>
      <c r="B20" s="329">
        <v>1425.6000000000001</v>
      </c>
      <c r="C20" s="35">
        <f t="shared" si="3"/>
        <v>1568.1600000000003</v>
      </c>
      <c r="D20" s="35">
        <f t="shared" si="4"/>
        <v>1756.3392000000006</v>
      </c>
      <c r="E20" s="35">
        <f t="shared" si="9"/>
        <v>1931.9731200000008</v>
      </c>
      <c r="F20" s="334">
        <f t="shared" si="5"/>
        <v>0.10000000000000009</v>
      </c>
      <c r="G20" s="341">
        <v>2233</v>
      </c>
      <c r="H20" s="175">
        <f t="shared" si="6"/>
        <v>2366.98</v>
      </c>
      <c r="I20" s="342">
        <f t="shared" si="7"/>
        <v>2530.3016199999997</v>
      </c>
      <c r="J20" s="342">
        <f>(I20*$J$9)+I20</f>
        <v>2682.1197171999997</v>
      </c>
      <c r="K20" s="342">
        <v>2843.0469002319996</v>
      </c>
      <c r="L20" s="342">
        <f t="shared" si="8"/>
        <v>3013.62971424592</v>
      </c>
      <c r="M20" s="365">
        <f t="shared" si="0"/>
        <v>0.06</v>
      </c>
      <c r="N20" s="265">
        <f t="shared" si="1"/>
        <v>3194.447497100675</v>
      </c>
      <c r="O20" s="265">
        <f t="shared" si="2"/>
        <v>3386.1143469267154</v>
      </c>
    </row>
    <row r="21" spans="1:15" s="331" customFormat="1" ht="13.5">
      <c r="A21" s="330" t="s">
        <v>1059</v>
      </c>
      <c r="B21" s="329"/>
      <c r="C21" s="35"/>
      <c r="D21" s="35"/>
      <c r="E21" s="35"/>
      <c r="F21" s="334"/>
      <c r="G21" s="341"/>
      <c r="H21" s="175"/>
      <c r="I21" s="342"/>
      <c r="J21" s="265">
        <f>J20*0.6</f>
        <v>1609.2718303199997</v>
      </c>
      <c r="K21" s="265">
        <v>1705.8281401391996</v>
      </c>
      <c r="L21" s="265">
        <f t="shared" si="8"/>
        <v>1808.1778285475516</v>
      </c>
      <c r="M21" s="172">
        <f t="shared" si="0"/>
        <v>0.06</v>
      </c>
      <c r="N21" s="265">
        <f t="shared" si="1"/>
        <v>1916.6684982604047</v>
      </c>
      <c r="O21" s="265">
        <f t="shared" si="2"/>
        <v>2031.668608156029</v>
      </c>
    </row>
    <row r="22" spans="1:15" s="331" customFormat="1" ht="13.5">
      <c r="A22" s="330" t="s">
        <v>1060</v>
      </c>
      <c r="B22" s="329"/>
      <c r="C22" s="35"/>
      <c r="D22" s="35"/>
      <c r="E22" s="35"/>
      <c r="F22" s="334"/>
      <c r="G22" s="341"/>
      <c r="H22" s="175"/>
      <c r="I22" s="342"/>
      <c r="J22" s="265">
        <f>J20*0.4</f>
        <v>1072.84788688</v>
      </c>
      <c r="K22" s="265">
        <v>1137.2187600928</v>
      </c>
      <c r="L22" s="265">
        <f t="shared" si="8"/>
        <v>1205.451885698368</v>
      </c>
      <c r="M22" s="172">
        <f t="shared" si="0"/>
        <v>0.06</v>
      </c>
      <c r="N22" s="265">
        <f t="shared" si="1"/>
        <v>1277.77899884027</v>
      </c>
      <c r="O22" s="265">
        <f t="shared" si="2"/>
        <v>1354.4457387706864</v>
      </c>
    </row>
    <row r="23" spans="1:15" s="331" customFormat="1" ht="13.5">
      <c r="A23" s="329" t="s">
        <v>176</v>
      </c>
      <c r="B23" s="329">
        <v>1425.6000000000001</v>
      </c>
      <c r="C23" s="35">
        <f t="shared" si="3"/>
        <v>1568.1600000000003</v>
      </c>
      <c r="D23" s="35">
        <f t="shared" si="4"/>
        <v>1756.3392000000006</v>
      </c>
      <c r="E23" s="35">
        <f t="shared" si="9"/>
        <v>1931.9731200000008</v>
      </c>
      <c r="F23" s="334">
        <f t="shared" si="5"/>
        <v>0.10000000000000009</v>
      </c>
      <c r="G23" s="341">
        <v>2233</v>
      </c>
      <c r="H23" s="175">
        <f t="shared" si="6"/>
        <v>2366.98</v>
      </c>
      <c r="I23" s="342">
        <f t="shared" si="7"/>
        <v>2530.3016199999997</v>
      </c>
      <c r="J23" s="342">
        <f>(I23*$J$9)+I23</f>
        <v>2682.1197171999997</v>
      </c>
      <c r="K23" s="342">
        <v>2843.0469002319996</v>
      </c>
      <c r="L23" s="342">
        <f t="shared" si="8"/>
        <v>3013.62971424592</v>
      </c>
      <c r="M23" s="365">
        <f t="shared" si="0"/>
        <v>0.06</v>
      </c>
      <c r="N23" s="342">
        <f t="shared" si="1"/>
        <v>3194.447497100675</v>
      </c>
      <c r="O23" s="342">
        <f t="shared" si="2"/>
        <v>3386.1143469267154</v>
      </c>
    </row>
    <row r="24" spans="1:15" ht="13.5">
      <c r="A24" s="330" t="s">
        <v>1059</v>
      </c>
      <c r="B24" s="330"/>
      <c r="C24" s="27"/>
      <c r="D24" s="27"/>
      <c r="E24" s="27"/>
      <c r="F24" s="343"/>
      <c r="H24" s="66"/>
      <c r="I24" s="265"/>
      <c r="J24" s="265">
        <f>J23*0.6</f>
        <v>1609.2718303199997</v>
      </c>
      <c r="K24" s="265">
        <v>1705.8281401391996</v>
      </c>
      <c r="L24" s="265">
        <f t="shared" si="8"/>
        <v>1808.1778285475516</v>
      </c>
      <c r="M24" s="172">
        <f t="shared" si="0"/>
        <v>0.06</v>
      </c>
      <c r="N24" s="265">
        <f t="shared" si="1"/>
        <v>1916.6684982604047</v>
      </c>
      <c r="O24" s="265">
        <f t="shared" si="2"/>
        <v>2031.668608156029</v>
      </c>
    </row>
    <row r="25" spans="1:15" ht="13.5">
      <c r="A25" s="330" t="s">
        <v>1060</v>
      </c>
      <c r="B25" s="330"/>
      <c r="C25" s="27"/>
      <c r="D25" s="27"/>
      <c r="E25" s="27"/>
      <c r="F25" s="343"/>
      <c r="H25" s="66"/>
      <c r="I25" s="265"/>
      <c r="J25" s="265">
        <f>J23*0.4</f>
        <v>1072.84788688</v>
      </c>
      <c r="K25" s="265">
        <v>1137.2187600928</v>
      </c>
      <c r="L25" s="265">
        <f t="shared" si="8"/>
        <v>1205.451885698368</v>
      </c>
      <c r="M25" s="172">
        <f t="shared" si="0"/>
        <v>0.06</v>
      </c>
      <c r="N25" s="265">
        <f t="shared" si="1"/>
        <v>1277.77899884027</v>
      </c>
      <c r="O25" s="265">
        <f t="shared" si="2"/>
        <v>1354.4457387706864</v>
      </c>
    </row>
    <row r="26" spans="1:15" s="331" customFormat="1" ht="13.5">
      <c r="A26" s="329" t="s">
        <v>140</v>
      </c>
      <c r="B26" s="329">
        <v>356.40000000000003</v>
      </c>
      <c r="C26" s="35">
        <f t="shared" si="3"/>
        <v>392.0400000000001</v>
      </c>
      <c r="D26" s="35">
        <f t="shared" si="4"/>
        <v>439.08480000000014</v>
      </c>
      <c r="E26" s="35">
        <f t="shared" si="9"/>
        <v>482.9932800000002</v>
      </c>
      <c r="F26" s="334">
        <f t="shared" si="5"/>
        <v>0.10000000000000009</v>
      </c>
      <c r="G26" s="341">
        <v>558</v>
      </c>
      <c r="H26" s="175">
        <f t="shared" si="6"/>
        <v>591.48</v>
      </c>
      <c r="I26" s="342">
        <f t="shared" si="7"/>
        <v>632.29212</v>
      </c>
      <c r="J26" s="342">
        <f>(I26*$J$9)+I26</f>
        <v>670.2296471999999</v>
      </c>
      <c r="K26" s="342">
        <v>710.4434260319999</v>
      </c>
      <c r="L26" s="342">
        <f t="shared" si="8"/>
        <v>753.0700315939199</v>
      </c>
      <c r="M26" s="365">
        <f t="shared" si="0"/>
        <v>0.06</v>
      </c>
      <c r="N26" s="342">
        <f t="shared" si="1"/>
        <v>798.2542334895551</v>
      </c>
      <c r="O26" s="342">
        <f t="shared" si="2"/>
        <v>846.1494874989284</v>
      </c>
    </row>
    <row r="27" spans="1:15" s="331" customFormat="1" ht="13.5">
      <c r="A27" s="330" t="s">
        <v>1059</v>
      </c>
      <c r="B27" s="329"/>
      <c r="C27" s="35"/>
      <c r="D27" s="35"/>
      <c r="E27" s="35"/>
      <c r="F27" s="334"/>
      <c r="G27" s="341"/>
      <c r="H27" s="175"/>
      <c r="I27" s="342"/>
      <c r="J27" s="265">
        <f>J26*0.6</f>
        <v>402.13778831999997</v>
      </c>
      <c r="K27" s="265">
        <v>426.26605561919996</v>
      </c>
      <c r="L27" s="265">
        <f t="shared" si="8"/>
        <v>451.842018956352</v>
      </c>
      <c r="M27" s="172">
        <f t="shared" si="0"/>
        <v>0.06</v>
      </c>
      <c r="N27" s="265">
        <f t="shared" si="1"/>
        <v>478.9525400937331</v>
      </c>
      <c r="O27" s="265">
        <f t="shared" si="2"/>
        <v>507.6896924993571</v>
      </c>
    </row>
    <row r="28" spans="1:15" s="331" customFormat="1" ht="13.5">
      <c r="A28" s="330" t="s">
        <v>1060</v>
      </c>
      <c r="B28" s="329"/>
      <c r="C28" s="35"/>
      <c r="D28" s="35"/>
      <c r="E28" s="35"/>
      <c r="F28" s="334"/>
      <c r="G28" s="341"/>
      <c r="H28" s="175"/>
      <c r="I28" s="342"/>
      <c r="J28" s="265">
        <f>J26*0.4</f>
        <v>268.09185887999996</v>
      </c>
      <c r="K28" s="265">
        <v>284.1773704128</v>
      </c>
      <c r="L28" s="265">
        <f t="shared" si="8"/>
        <v>301.228012637568</v>
      </c>
      <c r="M28" s="172">
        <f t="shared" si="0"/>
        <v>0.06</v>
      </c>
      <c r="N28" s="265">
        <f t="shared" si="1"/>
        <v>319.30169339582204</v>
      </c>
      <c r="O28" s="265">
        <f t="shared" si="2"/>
        <v>338.4597949995714</v>
      </c>
    </row>
    <row r="29" spans="1:15" s="331" customFormat="1" ht="13.5">
      <c r="A29" s="329" t="s">
        <v>177</v>
      </c>
      <c r="B29" s="329">
        <v>356.40000000000003</v>
      </c>
      <c r="C29" s="35">
        <f t="shared" si="3"/>
        <v>392.0400000000001</v>
      </c>
      <c r="D29" s="35">
        <f t="shared" si="4"/>
        <v>439.08480000000014</v>
      </c>
      <c r="E29" s="35">
        <f t="shared" si="9"/>
        <v>482.9932800000002</v>
      </c>
      <c r="F29" s="334">
        <f t="shared" si="5"/>
        <v>0.10000000000000009</v>
      </c>
      <c r="G29" s="341">
        <v>558</v>
      </c>
      <c r="H29" s="175">
        <f t="shared" si="6"/>
        <v>591.48</v>
      </c>
      <c r="I29" s="342">
        <f t="shared" si="7"/>
        <v>632.29212</v>
      </c>
      <c r="J29" s="342">
        <f>(I29*$J$9)+I29</f>
        <v>670.2296471999999</v>
      </c>
      <c r="K29" s="342">
        <v>710.4434260319999</v>
      </c>
      <c r="L29" s="342">
        <f t="shared" si="8"/>
        <v>753.0700315939199</v>
      </c>
      <c r="M29" s="365">
        <f t="shared" si="0"/>
        <v>0.06</v>
      </c>
      <c r="N29" s="342">
        <f t="shared" si="1"/>
        <v>798.2542334895551</v>
      </c>
      <c r="O29" s="342">
        <f t="shared" si="2"/>
        <v>846.1494874989284</v>
      </c>
    </row>
    <row r="30" spans="1:15" s="331" customFormat="1" ht="13.5">
      <c r="A30" s="330" t="s">
        <v>1059</v>
      </c>
      <c r="B30" s="329"/>
      <c r="C30" s="35"/>
      <c r="D30" s="35"/>
      <c r="E30" s="35"/>
      <c r="F30" s="334"/>
      <c r="G30" s="341"/>
      <c r="H30" s="175"/>
      <c r="I30" s="342"/>
      <c r="J30" s="265">
        <f>J29*0.6</f>
        <v>402.13778831999997</v>
      </c>
      <c r="K30" s="265">
        <v>426.26605561919996</v>
      </c>
      <c r="L30" s="265">
        <f t="shared" si="8"/>
        <v>451.842018956352</v>
      </c>
      <c r="M30" s="172">
        <f t="shared" si="0"/>
        <v>0.06</v>
      </c>
      <c r="N30" s="265">
        <f t="shared" si="1"/>
        <v>478.9525400937331</v>
      </c>
      <c r="O30" s="265">
        <f t="shared" si="2"/>
        <v>507.6896924993571</v>
      </c>
    </row>
    <row r="31" spans="1:15" s="331" customFormat="1" ht="13.5">
      <c r="A31" s="330" t="s">
        <v>1060</v>
      </c>
      <c r="B31" s="329"/>
      <c r="C31" s="35"/>
      <c r="D31" s="35"/>
      <c r="E31" s="35"/>
      <c r="F31" s="334"/>
      <c r="G31" s="341"/>
      <c r="H31" s="175"/>
      <c r="I31" s="342"/>
      <c r="J31" s="265">
        <f>J29*0.4</f>
        <v>268.09185887999996</v>
      </c>
      <c r="K31" s="265">
        <v>284.1773704128</v>
      </c>
      <c r="L31" s="265">
        <f t="shared" si="8"/>
        <v>301.228012637568</v>
      </c>
      <c r="M31" s="172">
        <f t="shared" si="0"/>
        <v>0.06</v>
      </c>
      <c r="N31" s="265">
        <f t="shared" si="1"/>
        <v>319.30169339582204</v>
      </c>
      <c r="O31" s="265">
        <f t="shared" si="2"/>
        <v>338.4597949995714</v>
      </c>
    </row>
    <row r="32" spans="1:15" ht="13.5">
      <c r="A32" s="330" t="s">
        <v>178</v>
      </c>
      <c r="B32" s="330">
        <v>356.40000000000003</v>
      </c>
      <c r="C32" s="27">
        <f t="shared" si="3"/>
        <v>392.0400000000001</v>
      </c>
      <c r="D32" s="27">
        <f t="shared" si="4"/>
        <v>439.08480000000014</v>
      </c>
      <c r="E32" s="27">
        <f t="shared" si="9"/>
        <v>482.9932800000002</v>
      </c>
      <c r="F32" s="343">
        <f t="shared" si="5"/>
        <v>0.10000000000000009</v>
      </c>
      <c r="G32" s="153">
        <v>558</v>
      </c>
      <c r="H32" s="66">
        <f t="shared" si="6"/>
        <v>591.48</v>
      </c>
      <c r="I32" s="265">
        <f t="shared" si="7"/>
        <v>632.29212</v>
      </c>
      <c r="J32" s="265">
        <f>(I32*$M$9)+I32</f>
        <v>670.2296471999999</v>
      </c>
      <c r="K32" s="265">
        <v>710.4434260319999</v>
      </c>
      <c r="L32" s="265">
        <f t="shared" si="8"/>
        <v>753.0700315939199</v>
      </c>
      <c r="M32" s="172">
        <f t="shared" si="0"/>
        <v>0.06</v>
      </c>
      <c r="N32" s="265">
        <f t="shared" si="1"/>
        <v>798.2542334895551</v>
      </c>
      <c r="O32" s="265">
        <f t="shared" si="2"/>
        <v>846.1494874989284</v>
      </c>
    </row>
    <row r="33" spans="1:15" ht="13.5">
      <c r="A33" s="330" t="s">
        <v>179</v>
      </c>
      <c r="B33" s="330">
        <v>475.20000000000005</v>
      </c>
      <c r="C33" s="27">
        <f t="shared" si="3"/>
        <v>522.7200000000001</v>
      </c>
      <c r="D33" s="27">
        <f t="shared" si="4"/>
        <v>585.4464000000003</v>
      </c>
      <c r="E33" s="27">
        <f t="shared" si="9"/>
        <v>643.9910400000003</v>
      </c>
      <c r="F33" s="343">
        <f t="shared" si="5"/>
        <v>0.10000000000000007</v>
      </c>
      <c r="G33" s="153">
        <v>744</v>
      </c>
      <c r="H33" s="66">
        <f t="shared" si="6"/>
        <v>788.64</v>
      </c>
      <c r="I33" s="265">
        <f t="shared" si="7"/>
        <v>843.05616</v>
      </c>
      <c r="J33" s="265">
        <f>(I33*$M$9)+I33</f>
        <v>893.6395296</v>
      </c>
      <c r="K33" s="265">
        <v>947.257901376</v>
      </c>
      <c r="L33" s="265">
        <f t="shared" si="8"/>
        <v>1004.09337545856</v>
      </c>
      <c r="M33" s="172">
        <f t="shared" si="0"/>
        <v>0.06</v>
      </c>
      <c r="N33" s="265">
        <f t="shared" si="1"/>
        <v>1064.3389779860736</v>
      </c>
      <c r="O33" s="265">
        <f t="shared" si="2"/>
        <v>1128.199316665238</v>
      </c>
    </row>
    <row r="34" spans="1:15" ht="13.5">
      <c r="A34" s="330" t="s">
        <v>180</v>
      </c>
      <c r="B34" s="330">
        <v>594</v>
      </c>
      <c r="C34" s="27">
        <f t="shared" si="3"/>
        <v>653.4000000000001</v>
      </c>
      <c r="D34" s="27">
        <f t="shared" si="4"/>
        <v>731.8080000000002</v>
      </c>
      <c r="E34" s="27">
        <f t="shared" si="9"/>
        <v>804.9888000000003</v>
      </c>
      <c r="F34" s="343">
        <f t="shared" si="5"/>
        <v>0.10000000000000009</v>
      </c>
      <c r="G34" s="153">
        <v>930</v>
      </c>
      <c r="H34" s="66">
        <f t="shared" si="6"/>
        <v>985.8000000000001</v>
      </c>
      <c r="I34" s="265">
        <f t="shared" si="7"/>
        <v>1053.8202</v>
      </c>
      <c r="J34" s="265">
        <f>(I34*$M$9)+I34</f>
        <v>1117.049412</v>
      </c>
      <c r="K34" s="265">
        <v>1184.0723767200002</v>
      </c>
      <c r="L34" s="265">
        <f t="shared" si="8"/>
        <v>1255.1167193232002</v>
      </c>
      <c r="M34" s="172">
        <f t="shared" si="0"/>
        <v>0.06</v>
      </c>
      <c r="N34" s="265">
        <f t="shared" si="1"/>
        <v>1330.4237224825922</v>
      </c>
      <c r="O34" s="265">
        <f t="shared" si="2"/>
        <v>1410.2491458315478</v>
      </c>
    </row>
    <row r="35" spans="1:15" ht="13.5">
      <c r="A35" s="330" t="s">
        <v>181</v>
      </c>
      <c r="B35" s="330">
        <v>712.8000000000001</v>
      </c>
      <c r="C35" s="27">
        <f t="shared" si="3"/>
        <v>784.0800000000002</v>
      </c>
      <c r="D35" s="27">
        <f t="shared" si="4"/>
        <v>878.1696000000003</v>
      </c>
      <c r="E35" s="27">
        <f t="shared" si="9"/>
        <v>965.9865600000004</v>
      </c>
      <c r="F35" s="343">
        <f t="shared" si="5"/>
        <v>0.10000000000000009</v>
      </c>
      <c r="G35" s="153">
        <v>1116</v>
      </c>
      <c r="H35" s="66">
        <f t="shared" si="6"/>
        <v>1182.96</v>
      </c>
      <c r="I35" s="265">
        <f t="shared" si="7"/>
        <v>1264.58424</v>
      </c>
      <c r="J35" s="265">
        <f>(I35*$M$9)+I35</f>
        <v>1340.4592943999999</v>
      </c>
      <c r="K35" s="265">
        <v>1420.8868520639999</v>
      </c>
      <c r="L35" s="265">
        <f t="shared" si="8"/>
        <v>1506.1400631878398</v>
      </c>
      <c r="M35" s="172">
        <f t="shared" si="0"/>
        <v>0.06</v>
      </c>
      <c r="N35" s="265">
        <f t="shared" si="1"/>
        <v>1596.5084669791102</v>
      </c>
      <c r="O35" s="265">
        <f t="shared" si="2"/>
        <v>1692.2989749978567</v>
      </c>
    </row>
    <row r="36" spans="1:15" ht="13.5">
      <c r="A36" s="330" t="s">
        <v>182</v>
      </c>
      <c r="B36" s="330">
        <v>772.2</v>
      </c>
      <c r="C36" s="27">
        <f t="shared" si="3"/>
        <v>849.4200000000001</v>
      </c>
      <c r="D36" s="27">
        <f t="shared" si="4"/>
        <v>951.3504000000001</v>
      </c>
      <c r="E36" s="27">
        <f t="shared" si="9"/>
        <v>1046.4854400000002</v>
      </c>
      <c r="F36" s="343">
        <f t="shared" si="5"/>
        <v>0.09999999999999999</v>
      </c>
      <c r="G36" s="153">
        <v>1209</v>
      </c>
      <c r="H36" s="66">
        <f t="shared" si="6"/>
        <v>1281.54</v>
      </c>
      <c r="I36" s="265">
        <f t="shared" si="7"/>
        <v>1369.96626</v>
      </c>
      <c r="J36" s="265">
        <f>(I36*$M$9)+I36</f>
        <v>1452.1642356</v>
      </c>
      <c r="K36" s="265">
        <v>1539.294089736</v>
      </c>
      <c r="L36" s="265">
        <f t="shared" si="8"/>
        <v>1631.6517351201599</v>
      </c>
      <c r="M36" s="172">
        <f t="shared" si="0"/>
        <v>0.06</v>
      </c>
      <c r="N36" s="265">
        <f t="shared" si="1"/>
        <v>1729.5508392273694</v>
      </c>
      <c r="O36" s="265">
        <f t="shared" si="2"/>
        <v>1833.3238895810116</v>
      </c>
    </row>
    <row r="37" spans="1:15" ht="27">
      <c r="A37" s="330" t="s">
        <v>183</v>
      </c>
      <c r="B37" s="330" t="s">
        <v>184</v>
      </c>
      <c r="C37" s="330" t="s">
        <v>184</v>
      </c>
      <c r="D37" s="330" t="s">
        <v>184</v>
      </c>
      <c r="E37" s="330" t="s">
        <v>184</v>
      </c>
      <c r="F37" s="343">
        <v>0</v>
      </c>
      <c r="G37" s="153" t="s">
        <v>184</v>
      </c>
      <c r="H37" s="153" t="s">
        <v>1027</v>
      </c>
      <c r="I37" s="344" t="s">
        <v>1027</v>
      </c>
      <c r="J37" s="723" t="s">
        <v>1027</v>
      </c>
      <c r="K37" s="723" t="s">
        <v>1027</v>
      </c>
      <c r="L37" s="723" t="s">
        <v>1027</v>
      </c>
      <c r="M37" s="723" t="s">
        <v>1027</v>
      </c>
      <c r="N37" s="723" t="s">
        <v>1027</v>
      </c>
      <c r="O37" s="723" t="s">
        <v>1027</v>
      </c>
    </row>
    <row r="38" spans="1:15" s="331" customFormat="1" ht="13.5">
      <c r="A38" s="329" t="s">
        <v>185</v>
      </c>
      <c r="B38" s="329">
        <v>427.68000000000006</v>
      </c>
      <c r="C38" s="35">
        <f>B38*1.1</f>
        <v>470.4480000000001</v>
      </c>
      <c r="D38" s="35">
        <f t="shared" si="4"/>
        <v>526.9017600000002</v>
      </c>
      <c r="E38" s="35">
        <f>D38*1.1</f>
        <v>579.5919360000003</v>
      </c>
      <c r="F38" s="334">
        <v>0.12</v>
      </c>
      <c r="G38" s="341">
        <v>670</v>
      </c>
      <c r="H38" s="364">
        <f>G38*1.06</f>
        <v>710.2</v>
      </c>
      <c r="I38" s="342">
        <f t="shared" si="7"/>
        <v>759.2038</v>
      </c>
      <c r="J38" s="342">
        <f>(I38*$J$9)+I38</f>
        <v>804.756028</v>
      </c>
      <c r="K38" s="342">
        <v>853.0413896800001</v>
      </c>
      <c r="L38" s="342">
        <f t="shared" si="8"/>
        <v>904.2238730608001</v>
      </c>
      <c r="M38" s="365">
        <f t="shared" si="0"/>
        <v>0.06</v>
      </c>
      <c r="N38" s="342">
        <f t="shared" si="1"/>
        <v>958.4773054444481</v>
      </c>
      <c r="O38" s="342">
        <f t="shared" si="2"/>
        <v>1015.985943771115</v>
      </c>
    </row>
    <row r="39" spans="1:15" ht="13.5">
      <c r="A39" s="330" t="s">
        <v>1059</v>
      </c>
      <c r="B39" s="330"/>
      <c r="C39" s="27"/>
      <c r="D39" s="27"/>
      <c r="E39" s="27"/>
      <c r="F39" s="343"/>
      <c r="H39" s="345"/>
      <c r="I39" s="265"/>
      <c r="J39" s="265">
        <f>J38*0.6</f>
        <v>482.8536168</v>
      </c>
      <c r="K39" s="265">
        <v>511.824833808</v>
      </c>
      <c r="L39" s="265">
        <f t="shared" si="8"/>
        <v>542.53432383648</v>
      </c>
      <c r="M39" s="172">
        <f t="shared" si="0"/>
        <v>0.06</v>
      </c>
      <c r="N39" s="265">
        <f t="shared" si="1"/>
        <v>575.0863832666688</v>
      </c>
      <c r="O39" s="265">
        <f t="shared" si="2"/>
        <v>609.591566262669</v>
      </c>
    </row>
    <row r="40" spans="1:15" ht="13.5">
      <c r="A40" s="330" t="s">
        <v>1060</v>
      </c>
      <c r="B40" s="330"/>
      <c r="C40" s="27"/>
      <c r="D40" s="27"/>
      <c r="E40" s="27"/>
      <c r="F40" s="343"/>
      <c r="H40" s="345"/>
      <c r="I40" s="265"/>
      <c r="J40" s="265">
        <f>J38*0.4</f>
        <v>321.9024112</v>
      </c>
      <c r="K40" s="265">
        <v>341.216555872</v>
      </c>
      <c r="L40" s="265">
        <f t="shared" si="8"/>
        <v>361.68954922432</v>
      </c>
      <c r="M40" s="172">
        <f t="shared" si="0"/>
        <v>0.06</v>
      </c>
      <c r="N40" s="265">
        <f t="shared" si="1"/>
        <v>383.3909221777792</v>
      </c>
      <c r="O40" s="265">
        <f t="shared" si="2"/>
        <v>406.3943775084459</v>
      </c>
    </row>
    <row r="41" spans="1:13" ht="13.5">
      <c r="A41" s="330" t="s">
        <v>186</v>
      </c>
      <c r="B41" s="330"/>
      <c r="C41" s="7"/>
      <c r="D41" s="7"/>
      <c r="E41" s="7"/>
      <c r="F41" s="343"/>
      <c r="I41" s="265"/>
      <c r="J41" s="265"/>
      <c r="K41" s="265"/>
      <c r="L41" s="342"/>
      <c r="M41" s="365"/>
    </row>
    <row r="42" spans="1:15" ht="27">
      <c r="A42" s="330" t="s">
        <v>187</v>
      </c>
      <c r="B42" s="330" t="s">
        <v>184</v>
      </c>
      <c r="C42" s="330" t="s">
        <v>184</v>
      </c>
      <c r="D42" s="330" t="s">
        <v>184</v>
      </c>
      <c r="E42" s="330" t="s">
        <v>184</v>
      </c>
      <c r="F42" s="343"/>
      <c r="G42" s="153" t="s">
        <v>184</v>
      </c>
      <c r="H42" s="153" t="s">
        <v>184</v>
      </c>
      <c r="I42" s="153" t="s">
        <v>184</v>
      </c>
      <c r="J42" s="724" t="s">
        <v>184</v>
      </c>
      <c r="K42" s="724" t="s">
        <v>184</v>
      </c>
      <c r="L42" s="724" t="s">
        <v>184</v>
      </c>
      <c r="M42" s="724" t="s">
        <v>184</v>
      </c>
      <c r="N42" s="724" t="s">
        <v>184</v>
      </c>
      <c r="O42" s="724" t="s">
        <v>184</v>
      </c>
    </row>
    <row r="43" spans="1:15" ht="27">
      <c r="A43" s="330" t="s">
        <v>188</v>
      </c>
      <c r="B43" s="330" t="s">
        <v>184</v>
      </c>
      <c r="C43" s="330" t="s">
        <v>184</v>
      </c>
      <c r="D43" s="330" t="s">
        <v>184</v>
      </c>
      <c r="E43" s="330" t="s">
        <v>184</v>
      </c>
      <c r="F43" s="343"/>
      <c r="G43" s="153" t="s">
        <v>184</v>
      </c>
      <c r="H43" s="153" t="s">
        <v>184</v>
      </c>
      <c r="I43" s="153" t="s">
        <v>184</v>
      </c>
      <c r="J43" s="724" t="s">
        <v>184</v>
      </c>
      <c r="K43" s="724" t="s">
        <v>184</v>
      </c>
      <c r="L43" s="724" t="s">
        <v>184</v>
      </c>
      <c r="M43" s="724" t="s">
        <v>184</v>
      </c>
      <c r="N43" s="724" t="s">
        <v>184</v>
      </c>
      <c r="O43" s="724" t="s">
        <v>184</v>
      </c>
    </row>
    <row r="44" spans="1:13" ht="13.5">
      <c r="A44" s="330"/>
      <c r="B44" s="330"/>
      <c r="C44" s="330"/>
      <c r="D44" s="330"/>
      <c r="E44" s="330"/>
      <c r="F44" s="343"/>
      <c r="I44" s="265"/>
      <c r="J44" s="265"/>
      <c r="K44" s="265"/>
      <c r="L44" s="342"/>
      <c r="M44" s="365"/>
    </row>
    <row r="45" spans="1:13" ht="13.5">
      <c r="A45" s="329" t="s">
        <v>189</v>
      </c>
      <c r="B45" s="330"/>
      <c r="C45" s="7"/>
      <c r="D45" s="7"/>
      <c r="E45" s="7"/>
      <c r="F45" s="343"/>
      <c r="G45" s="153">
        <f>E45*1.08</f>
        <v>0</v>
      </c>
      <c r="I45" s="265"/>
      <c r="J45" s="265"/>
      <c r="K45" s="265"/>
      <c r="L45" s="342"/>
      <c r="M45" s="365"/>
    </row>
    <row r="46" spans="1:15" s="331" customFormat="1" ht="13.5">
      <c r="A46" s="329" t="s">
        <v>190</v>
      </c>
      <c r="B46" s="329">
        <v>77220</v>
      </c>
      <c r="C46" s="35">
        <f>B46*1.1</f>
        <v>84942</v>
      </c>
      <c r="D46" s="35">
        <f>C46*1.12</f>
        <v>95135.04000000001</v>
      </c>
      <c r="E46" s="35">
        <f>D46*1.1</f>
        <v>104648.54400000002</v>
      </c>
      <c r="F46" s="334">
        <f>(E46-D46)/D46</f>
        <v>0.10000000000000016</v>
      </c>
      <c r="G46" s="341">
        <f>120932</f>
        <v>120932</v>
      </c>
      <c r="H46" s="175">
        <f>G46*1.06</f>
        <v>128187.92000000001</v>
      </c>
      <c r="I46" s="342">
        <f>H46*1.069</f>
        <v>137032.88648000002</v>
      </c>
      <c r="J46" s="342">
        <f>(I46*$M$9)+I46</f>
        <v>145254.85966880003</v>
      </c>
      <c r="K46" s="342">
        <v>153970.151248928</v>
      </c>
      <c r="L46" s="342">
        <f t="shared" si="8"/>
        <v>163208.3603238637</v>
      </c>
      <c r="M46" s="365">
        <f aca="true" t="shared" si="10" ref="M46:M74">$M$9</f>
        <v>0.06</v>
      </c>
      <c r="N46" s="342">
        <f>(L46*$N$9)+L46</f>
        <v>173000.86194329552</v>
      </c>
      <c r="O46" s="265">
        <f aca="true" t="shared" si="11" ref="O46:O97">(N46*$O$9)+N46</f>
        <v>183380.91365989324</v>
      </c>
    </row>
    <row r="47" spans="1:15" ht="13.5">
      <c r="A47" s="330" t="s">
        <v>1059</v>
      </c>
      <c r="B47" s="330"/>
      <c r="C47" s="27"/>
      <c r="D47" s="27"/>
      <c r="E47" s="27"/>
      <c r="F47" s="343"/>
      <c r="H47" s="66"/>
      <c r="I47" s="265"/>
      <c r="J47" s="265">
        <f>J46*0.6</f>
        <v>87152.91580128002</v>
      </c>
      <c r="K47" s="265">
        <v>92382.09074935682</v>
      </c>
      <c r="L47" s="265">
        <f t="shared" si="8"/>
        <v>97925.01619431823</v>
      </c>
      <c r="M47" s="172">
        <f t="shared" si="10"/>
        <v>0.06</v>
      </c>
      <c r="N47" s="265">
        <f>(L47*$N$9)+L47</f>
        <v>103800.51716597733</v>
      </c>
      <c r="O47" s="265">
        <f t="shared" si="11"/>
        <v>110028.54819593597</v>
      </c>
    </row>
    <row r="48" spans="1:15" ht="13.5">
      <c r="A48" s="330" t="s">
        <v>1060</v>
      </c>
      <c r="B48" s="330"/>
      <c r="C48" s="27"/>
      <c r="D48" s="27"/>
      <c r="E48" s="27"/>
      <c r="F48" s="343"/>
      <c r="H48" s="66"/>
      <c r="I48" s="265"/>
      <c r="J48" s="265">
        <f>J46*0.4</f>
        <v>58101.943867520014</v>
      </c>
      <c r="K48" s="265">
        <v>61588.06049957121</v>
      </c>
      <c r="L48" s="265">
        <f t="shared" si="8"/>
        <v>65283.34412954548</v>
      </c>
      <c r="M48" s="172">
        <f t="shared" si="10"/>
        <v>0.06</v>
      </c>
      <c r="N48" s="265">
        <f>(L48*$N$9)+L48</f>
        <v>69200.34477731821</v>
      </c>
      <c r="O48" s="265">
        <f t="shared" si="11"/>
        <v>73352.3654639573</v>
      </c>
    </row>
    <row r="49" spans="1:15" ht="13.5">
      <c r="A49" s="330" t="s">
        <v>191</v>
      </c>
      <c r="B49" s="330" t="s">
        <v>192</v>
      </c>
      <c r="C49" s="330" t="s">
        <v>192</v>
      </c>
      <c r="D49" s="330" t="s">
        <v>192</v>
      </c>
      <c r="E49" s="330" t="s">
        <v>192</v>
      </c>
      <c r="F49" s="343"/>
      <c r="G49" s="153" t="s">
        <v>192</v>
      </c>
      <c r="I49" s="265"/>
      <c r="J49" s="265"/>
      <c r="K49" s="265"/>
      <c r="L49" s="342"/>
      <c r="M49" s="365"/>
      <c r="N49" s="265"/>
      <c r="O49" s="265">
        <f t="shared" si="11"/>
        <v>0</v>
      </c>
    </row>
    <row r="50" spans="1:15" ht="13.5">
      <c r="A50" s="330" t="s">
        <v>193</v>
      </c>
      <c r="B50" s="346" t="s">
        <v>194</v>
      </c>
      <c r="C50" s="346" t="s">
        <v>194</v>
      </c>
      <c r="D50" s="346" t="s">
        <v>194</v>
      </c>
      <c r="E50" s="346" t="s">
        <v>194</v>
      </c>
      <c r="F50" s="343"/>
      <c r="G50" s="153" t="s">
        <v>194</v>
      </c>
      <c r="I50" s="265"/>
      <c r="J50" s="265"/>
      <c r="K50" s="265"/>
      <c r="L50" s="342"/>
      <c r="M50" s="365"/>
      <c r="N50" s="265"/>
      <c r="O50" s="265">
        <f t="shared" si="11"/>
        <v>0</v>
      </c>
    </row>
    <row r="51" spans="1:15" s="331" customFormat="1" ht="13.5">
      <c r="A51" s="329" t="s">
        <v>195</v>
      </c>
      <c r="B51" s="329">
        <v>4158.000000000001</v>
      </c>
      <c r="C51" s="35">
        <f>B51*1.1</f>
        <v>4573.800000000001</v>
      </c>
      <c r="D51" s="35">
        <f>C51*1.12</f>
        <v>5122.656000000002</v>
      </c>
      <c r="E51" s="35">
        <f>D51*1.1</f>
        <v>5634.921600000002</v>
      </c>
      <c r="F51" s="334">
        <f>(E51-D51)/D51</f>
        <v>0.10000000000000009</v>
      </c>
      <c r="G51" s="341">
        <v>6512</v>
      </c>
      <c r="H51" s="175">
        <f>G51*1.06</f>
        <v>6902.72</v>
      </c>
      <c r="I51" s="342">
        <f>H51*1.069</f>
        <v>7379.00768</v>
      </c>
      <c r="J51" s="342">
        <f>(I51*$M$9)+I51</f>
        <v>7821.748140799999</v>
      </c>
      <c r="K51" s="342">
        <v>8291.053029248</v>
      </c>
      <c r="L51" s="342">
        <f t="shared" si="8"/>
        <v>8788.51621100288</v>
      </c>
      <c r="M51" s="365">
        <f t="shared" si="10"/>
        <v>0.06</v>
      </c>
      <c r="N51" s="342">
        <f>(L51*$N$9)+L51</f>
        <v>9315.827183663052</v>
      </c>
      <c r="O51" s="265">
        <f t="shared" si="11"/>
        <v>9874.776814682835</v>
      </c>
    </row>
    <row r="52" spans="1:15" ht="13.5">
      <c r="A52" s="330" t="s">
        <v>1059</v>
      </c>
      <c r="B52" s="330"/>
      <c r="C52" s="27"/>
      <c r="D52" s="27"/>
      <c r="E52" s="27"/>
      <c r="F52" s="343"/>
      <c r="H52" s="66"/>
      <c r="I52" s="265"/>
      <c r="J52" s="265">
        <f>J51*0.6</f>
        <v>4693.048884479999</v>
      </c>
      <c r="K52" s="265">
        <v>4974.6318175487995</v>
      </c>
      <c r="L52" s="265">
        <f t="shared" si="8"/>
        <v>5273.109726601728</v>
      </c>
      <c r="M52" s="172">
        <f t="shared" si="10"/>
        <v>0.06</v>
      </c>
      <c r="N52" s="265">
        <f>(L52*$N$9)+L52</f>
        <v>5589.496310197831</v>
      </c>
      <c r="O52" s="265">
        <f t="shared" si="11"/>
        <v>5924.866088809701</v>
      </c>
    </row>
    <row r="53" spans="1:15" ht="13.5">
      <c r="A53" s="330" t="s">
        <v>1060</v>
      </c>
      <c r="B53" s="330"/>
      <c r="C53" s="27"/>
      <c r="D53" s="27"/>
      <c r="E53" s="27"/>
      <c r="F53" s="343"/>
      <c r="H53" s="66"/>
      <c r="I53" s="265"/>
      <c r="J53" s="265">
        <f>J51*0.4</f>
        <v>3128.69925632</v>
      </c>
      <c r="K53" s="265">
        <v>3316.4212116992003</v>
      </c>
      <c r="L53" s="265">
        <f t="shared" si="8"/>
        <v>3515.4064844011523</v>
      </c>
      <c r="M53" s="172">
        <f t="shared" si="10"/>
        <v>0.06</v>
      </c>
      <c r="N53" s="265"/>
      <c r="O53" s="265"/>
    </row>
    <row r="54" spans="1:15" ht="23.25">
      <c r="A54" s="330" t="s">
        <v>196</v>
      </c>
      <c r="B54" s="346" t="s">
        <v>194</v>
      </c>
      <c r="C54" s="346" t="s">
        <v>194</v>
      </c>
      <c r="D54" s="346" t="s">
        <v>194</v>
      </c>
      <c r="E54" s="346" t="s">
        <v>194</v>
      </c>
      <c r="F54" s="343"/>
      <c r="G54" s="153" t="s">
        <v>194</v>
      </c>
      <c r="H54" s="346" t="s">
        <v>1026</v>
      </c>
      <c r="I54" s="347" t="s">
        <v>1026</v>
      </c>
      <c r="J54" s="266" t="s">
        <v>1026</v>
      </c>
      <c r="K54" s="266" t="s">
        <v>1026</v>
      </c>
      <c r="L54" s="266" t="s">
        <v>1026</v>
      </c>
      <c r="M54" s="172">
        <f t="shared" si="10"/>
        <v>0.06</v>
      </c>
      <c r="N54" s="266" t="s">
        <v>1026</v>
      </c>
      <c r="O54" s="266" t="s">
        <v>1026</v>
      </c>
    </row>
    <row r="55" spans="1:15" ht="23.25">
      <c r="A55" s="330" t="s">
        <v>197</v>
      </c>
      <c r="B55" s="330" t="s">
        <v>194</v>
      </c>
      <c r="C55" s="330" t="s">
        <v>194</v>
      </c>
      <c r="D55" s="330" t="s">
        <v>194</v>
      </c>
      <c r="E55" s="330" t="s">
        <v>194</v>
      </c>
      <c r="F55" s="343"/>
      <c r="G55" s="153" t="s">
        <v>194</v>
      </c>
      <c r="H55" s="346" t="s">
        <v>1026</v>
      </c>
      <c r="I55" s="347" t="s">
        <v>1026</v>
      </c>
      <c r="J55" s="266" t="s">
        <v>1026</v>
      </c>
      <c r="K55" s="266" t="s">
        <v>1026</v>
      </c>
      <c r="L55" s="266" t="s">
        <v>1026</v>
      </c>
      <c r="M55" s="172">
        <f t="shared" si="10"/>
        <v>0.06</v>
      </c>
      <c r="N55" s="266" t="s">
        <v>1026</v>
      </c>
      <c r="O55" s="266" t="s">
        <v>1026</v>
      </c>
    </row>
    <row r="56" spans="1:15" ht="23.25">
      <c r="A56" s="330" t="s">
        <v>198</v>
      </c>
      <c r="B56" s="330" t="s">
        <v>194</v>
      </c>
      <c r="C56" s="330" t="s">
        <v>194</v>
      </c>
      <c r="D56" s="330" t="s">
        <v>194</v>
      </c>
      <c r="E56" s="330" t="s">
        <v>194</v>
      </c>
      <c r="F56" s="343"/>
      <c r="G56" s="153" t="s">
        <v>194</v>
      </c>
      <c r="H56" s="346" t="s">
        <v>1026</v>
      </c>
      <c r="I56" s="347" t="s">
        <v>1026</v>
      </c>
      <c r="J56" s="266" t="s">
        <v>1026</v>
      </c>
      <c r="K56" s="266" t="s">
        <v>1026</v>
      </c>
      <c r="L56" s="266" t="s">
        <v>1026</v>
      </c>
      <c r="M56" s="172">
        <f t="shared" si="10"/>
        <v>0.06</v>
      </c>
      <c r="N56" s="266" t="s">
        <v>1026</v>
      </c>
      <c r="O56" s="266" t="s">
        <v>1026</v>
      </c>
    </row>
    <row r="57" spans="1:15" ht="23.25">
      <c r="A57" s="330" t="s">
        <v>199</v>
      </c>
      <c r="B57" s="330" t="s">
        <v>194</v>
      </c>
      <c r="C57" s="330" t="s">
        <v>194</v>
      </c>
      <c r="D57" s="330" t="s">
        <v>194</v>
      </c>
      <c r="E57" s="330" t="s">
        <v>194</v>
      </c>
      <c r="F57" s="343"/>
      <c r="G57" s="153" t="s">
        <v>194</v>
      </c>
      <c r="H57" s="346" t="s">
        <v>1026</v>
      </c>
      <c r="I57" s="347" t="s">
        <v>1026</v>
      </c>
      <c r="J57" s="266" t="s">
        <v>1026</v>
      </c>
      <c r="K57" s="266" t="s">
        <v>1026</v>
      </c>
      <c r="L57" s="266" t="s">
        <v>1026</v>
      </c>
      <c r="M57" s="172">
        <f t="shared" si="10"/>
        <v>0.06</v>
      </c>
      <c r="N57" s="266" t="s">
        <v>1026</v>
      </c>
      <c r="O57" s="266" t="s">
        <v>1026</v>
      </c>
    </row>
    <row r="58" spans="1:15" ht="13.5">
      <c r="A58" s="330"/>
      <c r="B58" s="330"/>
      <c r="C58" s="7"/>
      <c r="D58" s="7"/>
      <c r="E58" s="7"/>
      <c r="F58" s="343"/>
      <c r="I58" s="265"/>
      <c r="J58" s="265"/>
      <c r="K58" s="265"/>
      <c r="L58" s="342"/>
      <c r="M58" s="365"/>
      <c r="N58" s="265"/>
      <c r="O58" s="265"/>
    </row>
    <row r="59" spans="1:15" ht="13.5">
      <c r="A59" s="329" t="s">
        <v>200</v>
      </c>
      <c r="B59" s="330"/>
      <c r="C59" s="7"/>
      <c r="D59" s="7"/>
      <c r="E59" s="7"/>
      <c r="F59" s="343"/>
      <c r="I59" s="265"/>
      <c r="J59" s="265"/>
      <c r="K59" s="265"/>
      <c r="L59" s="342"/>
      <c r="M59" s="365"/>
      <c r="N59" s="265"/>
      <c r="O59" s="265"/>
    </row>
    <row r="60" spans="1:15" s="331" customFormat="1" ht="13.5">
      <c r="A60" s="329" t="s">
        <v>201</v>
      </c>
      <c r="B60" s="348">
        <v>6296.400000000001</v>
      </c>
      <c r="C60" s="35">
        <f>B60*1.1</f>
        <v>6926.040000000001</v>
      </c>
      <c r="D60" s="35">
        <f aca="true" t="shared" si="12" ref="D60:D76">C60*1.12</f>
        <v>7757.164800000001</v>
      </c>
      <c r="E60" s="35">
        <f>D60*1.1</f>
        <v>8532.881280000001</v>
      </c>
      <c r="F60" s="334">
        <f>(E60-D60)/D60</f>
        <v>0.09999999999999999</v>
      </c>
      <c r="G60" s="341">
        <v>9861</v>
      </c>
      <c r="H60" s="175">
        <f>G60*1.06</f>
        <v>10452.66</v>
      </c>
      <c r="I60" s="342">
        <f>H60*1.069</f>
        <v>11173.89354</v>
      </c>
      <c r="J60" s="342">
        <f aca="true" t="shared" si="13" ref="J60:J76">(I60*$M$9)+I60</f>
        <v>11844.3271524</v>
      </c>
      <c r="K60" s="342">
        <v>12554.986781544</v>
      </c>
      <c r="L60" s="342">
        <f t="shared" si="8"/>
        <v>13308.285988436639</v>
      </c>
      <c r="M60" s="365">
        <f t="shared" si="10"/>
        <v>0.06</v>
      </c>
      <c r="N60" s="342">
        <f aca="true" t="shared" si="14" ref="N60:N76">(L60*$N$9)+L60</f>
        <v>14106.783147742837</v>
      </c>
      <c r="O60" s="342">
        <f t="shared" si="11"/>
        <v>14953.190136607407</v>
      </c>
    </row>
    <row r="61" spans="1:15" s="331" customFormat="1" ht="13.5">
      <c r="A61" s="330" t="s">
        <v>1059</v>
      </c>
      <c r="B61" s="348"/>
      <c r="C61" s="35"/>
      <c r="D61" s="35"/>
      <c r="E61" s="35"/>
      <c r="F61" s="334"/>
      <c r="G61" s="341"/>
      <c r="H61" s="175"/>
      <c r="I61" s="342"/>
      <c r="J61" s="265">
        <f>J60*0.6</f>
        <v>7106.59629144</v>
      </c>
      <c r="K61" s="265">
        <v>7532.9920689264</v>
      </c>
      <c r="L61" s="265">
        <f t="shared" si="8"/>
        <v>7984.971593061984</v>
      </c>
      <c r="M61" s="172">
        <f t="shared" si="10"/>
        <v>0.06</v>
      </c>
      <c r="N61" s="265">
        <f t="shared" si="14"/>
        <v>8464.069888645703</v>
      </c>
      <c r="O61" s="265">
        <f t="shared" si="11"/>
        <v>8971.914081964445</v>
      </c>
    </row>
    <row r="62" spans="1:15" s="331" customFormat="1" ht="13.5">
      <c r="A62" s="330" t="s">
        <v>1060</v>
      </c>
      <c r="B62" s="348"/>
      <c r="C62" s="35"/>
      <c r="D62" s="35"/>
      <c r="E62" s="35"/>
      <c r="F62" s="334"/>
      <c r="G62" s="341"/>
      <c r="H62" s="175"/>
      <c r="I62" s="342"/>
      <c r="J62" s="265">
        <f>J60*0.4</f>
        <v>4737.7308609599995</v>
      </c>
      <c r="K62" s="265">
        <v>5021.994712617599</v>
      </c>
      <c r="L62" s="265">
        <f t="shared" si="8"/>
        <v>5323.314395374655</v>
      </c>
      <c r="M62" s="172">
        <f t="shared" si="10"/>
        <v>0.06</v>
      </c>
      <c r="N62" s="265">
        <f t="shared" si="14"/>
        <v>5642.713259097134</v>
      </c>
      <c r="O62" s="265">
        <f t="shared" si="11"/>
        <v>5981.276054642962</v>
      </c>
    </row>
    <row r="63" spans="1:15" s="331" customFormat="1" ht="13.5">
      <c r="A63" s="329" t="s">
        <v>202</v>
      </c>
      <c r="B63" s="348">
        <v>3564.0000000000005</v>
      </c>
      <c r="C63" s="35">
        <f aca="true" t="shared" si="15" ref="C63:C76">B63*1.1</f>
        <v>3920.400000000001</v>
      </c>
      <c r="D63" s="35">
        <f t="shared" si="12"/>
        <v>4390.848000000002</v>
      </c>
      <c r="E63" s="35">
        <f aca="true" t="shared" si="16" ref="E63:E75">D63*1.1</f>
        <v>4829.932800000002</v>
      </c>
      <c r="F63" s="334">
        <f aca="true" t="shared" si="17" ref="F63:F97">(E63-D63)/D63</f>
        <v>0.10000000000000009</v>
      </c>
      <c r="G63" s="341">
        <v>5581</v>
      </c>
      <c r="H63" s="175">
        <f aca="true" t="shared" si="18" ref="H63:H76">G63*1.06</f>
        <v>5915.860000000001</v>
      </c>
      <c r="I63" s="342">
        <f aca="true" t="shared" si="19" ref="I63:I86">H63*1.069</f>
        <v>6324.054340000001</v>
      </c>
      <c r="J63" s="342">
        <f t="shared" si="13"/>
        <v>6703.497600400001</v>
      </c>
      <c r="K63" s="342">
        <v>7105.707456424001</v>
      </c>
      <c r="L63" s="342">
        <f t="shared" si="8"/>
        <v>7532.049903809441</v>
      </c>
      <c r="M63" s="365">
        <f t="shared" si="10"/>
        <v>0.06</v>
      </c>
      <c r="N63" s="342">
        <f t="shared" si="14"/>
        <v>7983.972898038008</v>
      </c>
      <c r="O63" s="342">
        <f t="shared" si="11"/>
        <v>8463.011271920288</v>
      </c>
    </row>
    <row r="64" spans="1:15" s="331" customFormat="1" ht="13.5">
      <c r="A64" s="330" t="s">
        <v>1059</v>
      </c>
      <c r="B64" s="348"/>
      <c r="C64" s="35"/>
      <c r="D64" s="35"/>
      <c r="E64" s="35"/>
      <c r="F64" s="334"/>
      <c r="G64" s="341"/>
      <c r="H64" s="175"/>
      <c r="I64" s="342"/>
      <c r="J64" s="265">
        <f>J63*0.6</f>
        <v>4022.0985602400006</v>
      </c>
      <c r="K64" s="265">
        <v>4263.4244738544</v>
      </c>
      <c r="L64" s="265">
        <f t="shared" si="8"/>
        <v>4519.229942285664</v>
      </c>
      <c r="M64" s="172">
        <f t="shared" si="10"/>
        <v>0.06</v>
      </c>
      <c r="N64" s="265">
        <f t="shared" si="14"/>
        <v>4790.383738822804</v>
      </c>
      <c r="O64" s="265">
        <f t="shared" si="11"/>
        <v>5077.806763152172</v>
      </c>
    </row>
    <row r="65" spans="1:15" s="331" customFormat="1" ht="13.5">
      <c r="A65" s="330" t="s">
        <v>1060</v>
      </c>
      <c r="B65" s="348"/>
      <c r="C65" s="35"/>
      <c r="D65" s="35"/>
      <c r="E65" s="35"/>
      <c r="F65" s="334"/>
      <c r="G65" s="341"/>
      <c r="H65" s="175"/>
      <c r="I65" s="342"/>
      <c r="J65" s="265">
        <f>J63*0.4</f>
        <v>2681.3990401600004</v>
      </c>
      <c r="K65" s="265">
        <v>2842.2829825696003</v>
      </c>
      <c r="L65" s="265">
        <f t="shared" si="8"/>
        <v>3012.8199615237763</v>
      </c>
      <c r="M65" s="172">
        <f t="shared" si="10"/>
        <v>0.06</v>
      </c>
      <c r="N65" s="265">
        <f t="shared" si="14"/>
        <v>3193.589159215203</v>
      </c>
      <c r="O65" s="265">
        <f t="shared" si="11"/>
        <v>3385.204508768115</v>
      </c>
    </row>
    <row r="66" spans="1:15" s="331" customFormat="1" ht="13.5">
      <c r="A66" s="329" t="s">
        <v>203</v>
      </c>
      <c r="B66" s="348">
        <v>2376</v>
      </c>
      <c r="C66" s="35">
        <f t="shared" si="15"/>
        <v>2613.6000000000004</v>
      </c>
      <c r="D66" s="35">
        <f t="shared" si="12"/>
        <v>2927.232000000001</v>
      </c>
      <c r="E66" s="35">
        <f t="shared" si="16"/>
        <v>3219.9552000000012</v>
      </c>
      <c r="F66" s="334">
        <f t="shared" si="17"/>
        <v>0.10000000000000009</v>
      </c>
      <c r="G66" s="341">
        <v>3721</v>
      </c>
      <c r="H66" s="175">
        <f t="shared" si="18"/>
        <v>3944.26</v>
      </c>
      <c r="I66" s="342">
        <f t="shared" si="19"/>
        <v>4216.41394</v>
      </c>
      <c r="J66" s="342">
        <f t="shared" si="13"/>
        <v>4469.3987764</v>
      </c>
      <c r="K66" s="342">
        <v>4737.562702984001</v>
      </c>
      <c r="L66" s="342">
        <f t="shared" si="8"/>
        <v>5021.81646516304</v>
      </c>
      <c r="M66" s="365">
        <f t="shared" si="10"/>
        <v>0.06</v>
      </c>
      <c r="N66" s="342">
        <f t="shared" si="14"/>
        <v>5323.125453072823</v>
      </c>
      <c r="O66" s="342">
        <f t="shared" si="11"/>
        <v>5642.512980257192</v>
      </c>
    </row>
    <row r="67" spans="1:15" s="331" customFormat="1" ht="13.5">
      <c r="A67" s="330" t="s">
        <v>1059</v>
      </c>
      <c r="B67" s="348"/>
      <c r="C67" s="35"/>
      <c r="D67" s="35"/>
      <c r="E67" s="35"/>
      <c r="F67" s="334"/>
      <c r="G67" s="341"/>
      <c r="H67" s="175"/>
      <c r="I67" s="342"/>
      <c r="J67" s="265">
        <f>J66*0.6</f>
        <v>2681.63926584</v>
      </c>
      <c r="K67" s="265">
        <v>2842.5376217904</v>
      </c>
      <c r="L67" s="265">
        <f t="shared" si="8"/>
        <v>3013.089879097824</v>
      </c>
      <c r="M67" s="172">
        <f t="shared" si="10"/>
        <v>0.06</v>
      </c>
      <c r="N67" s="265">
        <f t="shared" si="14"/>
        <v>3193.8752718436936</v>
      </c>
      <c r="O67" s="265">
        <f t="shared" si="11"/>
        <v>3385.507788154315</v>
      </c>
    </row>
    <row r="68" spans="1:15" s="331" customFormat="1" ht="13.5">
      <c r="A68" s="330" t="s">
        <v>1060</v>
      </c>
      <c r="B68" s="348"/>
      <c r="C68" s="35"/>
      <c r="D68" s="35"/>
      <c r="E68" s="35"/>
      <c r="F68" s="334"/>
      <c r="G68" s="341"/>
      <c r="H68" s="175"/>
      <c r="I68" s="342"/>
      <c r="J68" s="265">
        <f>J66*0.4</f>
        <v>1787.7595105600003</v>
      </c>
      <c r="K68" s="265">
        <v>1895.0250811936003</v>
      </c>
      <c r="L68" s="265">
        <f t="shared" si="8"/>
        <v>2008.7265860652162</v>
      </c>
      <c r="M68" s="172">
        <f t="shared" si="10"/>
        <v>0.06</v>
      </c>
      <c r="N68" s="265">
        <f t="shared" si="14"/>
        <v>2129.2501812291293</v>
      </c>
      <c r="O68" s="265">
        <f t="shared" si="11"/>
        <v>2257.005192102877</v>
      </c>
    </row>
    <row r="69" spans="1:15" s="331" customFormat="1" ht="13.5">
      <c r="A69" s="330" t="s">
        <v>204</v>
      </c>
      <c r="B69" s="348">
        <v>51.08400000000001</v>
      </c>
      <c r="C69" s="35">
        <f t="shared" si="15"/>
        <v>56.19240000000001</v>
      </c>
      <c r="D69" s="35">
        <f t="shared" si="12"/>
        <v>62.93548800000002</v>
      </c>
      <c r="E69" s="35">
        <f t="shared" si="16"/>
        <v>69.22903680000003</v>
      </c>
      <c r="F69" s="334">
        <f t="shared" si="17"/>
        <v>0.10000000000000013</v>
      </c>
      <c r="G69" s="341">
        <v>80</v>
      </c>
      <c r="H69" s="175">
        <f t="shared" si="18"/>
        <v>84.80000000000001</v>
      </c>
      <c r="I69" s="265">
        <f t="shared" si="19"/>
        <v>90.6512</v>
      </c>
      <c r="J69" s="265">
        <f t="shared" si="13"/>
        <v>96.090272</v>
      </c>
      <c r="K69" s="265">
        <v>101.85568832</v>
      </c>
      <c r="L69" s="265">
        <f t="shared" si="8"/>
        <v>107.96702961919999</v>
      </c>
      <c r="M69" s="172">
        <f t="shared" si="10"/>
        <v>0.06</v>
      </c>
      <c r="N69" s="265">
        <f t="shared" si="14"/>
        <v>114.44505139635199</v>
      </c>
      <c r="O69" s="265">
        <f t="shared" si="11"/>
        <v>121.3117544801331</v>
      </c>
    </row>
    <row r="70" spans="1:15" ht="13.5">
      <c r="A70" s="330" t="s">
        <v>205</v>
      </c>
      <c r="B70" s="12">
        <v>51.08400000000001</v>
      </c>
      <c r="C70" s="27">
        <f t="shared" si="15"/>
        <v>56.19240000000001</v>
      </c>
      <c r="D70" s="27">
        <f t="shared" si="12"/>
        <v>62.93548800000002</v>
      </c>
      <c r="E70" s="27">
        <f t="shared" si="16"/>
        <v>69.22903680000003</v>
      </c>
      <c r="F70" s="343">
        <f t="shared" si="17"/>
        <v>0.10000000000000013</v>
      </c>
      <c r="G70" s="153">
        <v>80</v>
      </c>
      <c r="H70" s="66">
        <f t="shared" si="18"/>
        <v>84.80000000000001</v>
      </c>
      <c r="I70" s="265">
        <f t="shared" si="19"/>
        <v>90.6512</v>
      </c>
      <c r="J70" s="265">
        <f t="shared" si="13"/>
        <v>96.090272</v>
      </c>
      <c r="K70" s="265">
        <v>101.85568832</v>
      </c>
      <c r="L70" s="265">
        <f t="shared" si="8"/>
        <v>107.96702961919999</v>
      </c>
      <c r="M70" s="172">
        <f t="shared" si="10"/>
        <v>0.06</v>
      </c>
      <c r="N70" s="265">
        <f t="shared" si="14"/>
        <v>114.44505139635199</v>
      </c>
      <c r="O70" s="265">
        <f t="shared" si="11"/>
        <v>121.3117544801331</v>
      </c>
    </row>
    <row r="71" spans="1:15" ht="13.5">
      <c r="A71" s="330" t="s">
        <v>286</v>
      </c>
      <c r="B71" s="12">
        <v>71.28000000000002</v>
      </c>
      <c r="C71" s="27">
        <f t="shared" si="15"/>
        <v>78.40800000000003</v>
      </c>
      <c r="D71" s="27">
        <f t="shared" si="12"/>
        <v>87.81696000000004</v>
      </c>
      <c r="E71" s="27">
        <f t="shared" si="16"/>
        <v>96.59865600000005</v>
      </c>
      <c r="F71" s="343">
        <f t="shared" si="17"/>
        <v>0.10000000000000007</v>
      </c>
      <c r="G71" s="153">
        <v>112</v>
      </c>
      <c r="H71" s="66">
        <f t="shared" si="18"/>
        <v>118.72</v>
      </c>
      <c r="I71" s="265">
        <f t="shared" si="19"/>
        <v>126.91167999999999</v>
      </c>
      <c r="J71" s="265">
        <f t="shared" si="13"/>
        <v>134.5263808</v>
      </c>
      <c r="K71" s="265">
        <v>142.597963648</v>
      </c>
      <c r="L71" s="265">
        <f t="shared" si="8"/>
        <v>151.15384146687998</v>
      </c>
      <c r="M71" s="172">
        <f t="shared" si="10"/>
        <v>0.06</v>
      </c>
      <c r="N71" s="265">
        <f t="shared" si="14"/>
        <v>160.2230719548928</v>
      </c>
      <c r="O71" s="265">
        <f t="shared" si="11"/>
        <v>169.83645627218635</v>
      </c>
    </row>
    <row r="72" spans="1:15" ht="13.5">
      <c r="A72" s="330" t="s">
        <v>206</v>
      </c>
      <c r="B72" s="12">
        <v>27.918000000000006</v>
      </c>
      <c r="C72" s="27">
        <f t="shared" si="15"/>
        <v>30.70980000000001</v>
      </c>
      <c r="D72" s="27">
        <f t="shared" si="12"/>
        <v>34.394976000000014</v>
      </c>
      <c r="E72" s="27">
        <f t="shared" si="16"/>
        <v>37.83447360000002</v>
      </c>
      <c r="F72" s="343">
        <f t="shared" si="17"/>
        <v>0.10000000000000005</v>
      </c>
      <c r="G72" s="153">
        <v>44</v>
      </c>
      <c r="H72" s="66">
        <f t="shared" si="18"/>
        <v>46.64</v>
      </c>
      <c r="I72" s="265">
        <f t="shared" si="19"/>
        <v>49.85816</v>
      </c>
      <c r="J72" s="265">
        <f t="shared" si="13"/>
        <v>52.8496496</v>
      </c>
      <c r="K72" s="265">
        <v>56.020628576</v>
      </c>
      <c r="L72" s="265">
        <f t="shared" si="8"/>
        <v>59.38186629056</v>
      </c>
      <c r="M72" s="172">
        <f t="shared" si="10"/>
        <v>0.06</v>
      </c>
      <c r="N72" s="265">
        <f t="shared" si="14"/>
        <v>62.9447782679936</v>
      </c>
      <c r="O72" s="265">
        <f t="shared" si="11"/>
        <v>66.72146496407322</v>
      </c>
    </row>
    <row r="73" spans="1:15" ht="13.5">
      <c r="A73" s="330" t="s">
        <v>287</v>
      </c>
      <c r="B73" s="12">
        <v>141.372</v>
      </c>
      <c r="C73" s="27">
        <f t="shared" si="15"/>
        <v>155.50920000000002</v>
      </c>
      <c r="D73" s="27">
        <f t="shared" si="12"/>
        <v>174.17030400000004</v>
      </c>
      <c r="E73" s="27">
        <f t="shared" si="16"/>
        <v>191.58733440000006</v>
      </c>
      <c r="F73" s="343">
        <f t="shared" si="17"/>
        <v>0.10000000000000006</v>
      </c>
      <c r="G73" s="153">
        <v>221</v>
      </c>
      <c r="H73" s="66">
        <f t="shared" si="18"/>
        <v>234.26000000000002</v>
      </c>
      <c r="I73" s="265">
        <f t="shared" si="19"/>
        <v>250.42394000000002</v>
      </c>
      <c r="J73" s="265">
        <f t="shared" si="13"/>
        <v>265.4493764</v>
      </c>
      <c r="K73" s="265">
        <v>281.37633898400003</v>
      </c>
      <c r="L73" s="265">
        <f t="shared" si="8"/>
        <v>298.25891932304</v>
      </c>
      <c r="M73" s="172">
        <f t="shared" si="10"/>
        <v>0.06</v>
      </c>
      <c r="N73" s="265">
        <f t="shared" si="14"/>
        <v>316.1544544824224</v>
      </c>
      <c r="O73" s="265">
        <f t="shared" si="11"/>
        <v>335.1237217513677</v>
      </c>
    </row>
    <row r="74" spans="1:15" ht="13.5">
      <c r="A74" s="330" t="s">
        <v>207</v>
      </c>
      <c r="B74" s="12">
        <v>71.28000000000002</v>
      </c>
      <c r="C74" s="27">
        <f t="shared" si="15"/>
        <v>78.40800000000003</v>
      </c>
      <c r="D74" s="27">
        <f t="shared" si="12"/>
        <v>87.81696000000004</v>
      </c>
      <c r="E74" s="27">
        <f t="shared" si="16"/>
        <v>96.59865600000005</v>
      </c>
      <c r="F74" s="343">
        <f t="shared" si="17"/>
        <v>0.10000000000000007</v>
      </c>
      <c r="G74" s="153">
        <v>112</v>
      </c>
      <c r="H74" s="66">
        <f t="shared" si="18"/>
        <v>118.72</v>
      </c>
      <c r="I74" s="265">
        <f t="shared" si="19"/>
        <v>126.91167999999999</v>
      </c>
      <c r="J74" s="265">
        <f t="shared" si="13"/>
        <v>134.5263808</v>
      </c>
      <c r="K74" s="265">
        <v>142.597963648</v>
      </c>
      <c r="L74" s="265">
        <f t="shared" si="8"/>
        <v>151.15384146687998</v>
      </c>
      <c r="M74" s="172">
        <f t="shared" si="10"/>
        <v>0.06</v>
      </c>
      <c r="N74" s="265">
        <f t="shared" si="14"/>
        <v>160.2230719548928</v>
      </c>
      <c r="O74" s="265">
        <f t="shared" si="11"/>
        <v>169.83645627218635</v>
      </c>
    </row>
    <row r="75" spans="1:15" ht="13.5">
      <c r="A75" s="330" t="s">
        <v>208</v>
      </c>
      <c r="B75" s="12">
        <v>47.52000000000001</v>
      </c>
      <c r="C75" s="27">
        <f t="shared" si="15"/>
        <v>52.27200000000001</v>
      </c>
      <c r="D75" s="27">
        <f t="shared" si="12"/>
        <v>58.54464000000002</v>
      </c>
      <c r="E75" s="27">
        <f t="shared" si="16"/>
        <v>64.39910400000004</v>
      </c>
      <c r="F75" s="343">
        <f t="shared" si="17"/>
        <v>0.1000000000000002</v>
      </c>
      <c r="G75" s="153">
        <v>74</v>
      </c>
      <c r="H75" s="66">
        <f t="shared" si="18"/>
        <v>78.44</v>
      </c>
      <c r="I75" s="265">
        <f t="shared" si="19"/>
        <v>83.85235999999999</v>
      </c>
      <c r="J75" s="265">
        <f t="shared" si="13"/>
        <v>88.88350159999999</v>
      </c>
      <c r="K75" s="265">
        <v>94.21651169599998</v>
      </c>
      <c r="L75" s="265">
        <f t="shared" si="8"/>
        <v>99.86950239775999</v>
      </c>
      <c r="M75" s="172">
        <f aca="true" t="shared" si="20" ref="M75:M97">$M$9</f>
        <v>0.06</v>
      </c>
      <c r="N75" s="265">
        <f t="shared" si="14"/>
        <v>105.86167254162558</v>
      </c>
      <c r="O75" s="265">
        <f t="shared" si="11"/>
        <v>112.21337289412311</v>
      </c>
    </row>
    <row r="76" spans="1:15" ht="13.5">
      <c r="A76" s="330" t="s">
        <v>288</v>
      </c>
      <c r="B76" s="12">
        <v>51.08400000000001</v>
      </c>
      <c r="C76" s="27">
        <f t="shared" si="15"/>
        <v>56.19240000000001</v>
      </c>
      <c r="D76" s="27">
        <f t="shared" si="12"/>
        <v>62.93548800000002</v>
      </c>
      <c r="E76" s="27">
        <f>D76*1.1</f>
        <v>69.22903680000003</v>
      </c>
      <c r="F76" s="343">
        <f t="shared" si="17"/>
        <v>0.10000000000000013</v>
      </c>
      <c r="G76" s="153">
        <v>80</v>
      </c>
      <c r="H76" s="66">
        <f t="shared" si="18"/>
        <v>84.80000000000001</v>
      </c>
      <c r="I76" s="265">
        <f t="shared" si="19"/>
        <v>90.6512</v>
      </c>
      <c r="J76" s="265">
        <f t="shared" si="13"/>
        <v>96.090272</v>
      </c>
      <c r="K76" s="265">
        <v>101.85568832</v>
      </c>
      <c r="L76" s="265">
        <f aca="true" t="shared" si="21" ref="L76:L97">(K76*M76)+K76</f>
        <v>107.96702961919999</v>
      </c>
      <c r="M76" s="172">
        <f t="shared" si="20"/>
        <v>0.06</v>
      </c>
      <c r="N76" s="265">
        <f t="shared" si="14"/>
        <v>114.44505139635199</v>
      </c>
      <c r="O76" s="265">
        <f t="shared" si="11"/>
        <v>121.3117544801331</v>
      </c>
    </row>
    <row r="77" spans="1:15" ht="13.5">
      <c r="A77" s="330"/>
      <c r="B77" s="330"/>
      <c r="C77" s="27"/>
      <c r="D77" s="27"/>
      <c r="E77" s="27"/>
      <c r="F77" s="343"/>
      <c r="I77" s="265"/>
      <c r="J77" s="265"/>
      <c r="K77" s="265"/>
      <c r="L77" s="342"/>
      <c r="M77" s="365"/>
      <c r="N77" s="265"/>
      <c r="O77" s="265"/>
    </row>
    <row r="78" spans="1:15" ht="13.5">
      <c r="A78" s="329" t="s">
        <v>21</v>
      </c>
      <c r="B78" s="330"/>
      <c r="C78" s="27"/>
      <c r="D78" s="27"/>
      <c r="E78" s="27"/>
      <c r="F78" s="343"/>
      <c r="I78" s="265"/>
      <c r="J78" s="265"/>
      <c r="K78" s="265"/>
      <c r="L78" s="342"/>
      <c r="M78" s="365"/>
      <c r="N78" s="265"/>
      <c r="O78" s="265"/>
    </row>
    <row r="79" spans="1:15" s="331" customFormat="1" ht="13.5">
      <c r="A79" s="329" t="s">
        <v>289</v>
      </c>
      <c r="B79" s="348">
        <v>279.18</v>
      </c>
      <c r="C79" s="35">
        <f>B79*1.1</f>
        <v>307.098</v>
      </c>
      <c r="D79" s="35">
        <f>C79*1.12</f>
        <v>343.94976</v>
      </c>
      <c r="E79" s="35">
        <f>D79*1.1</f>
        <v>378.34473600000007</v>
      </c>
      <c r="F79" s="334">
        <f t="shared" si="17"/>
        <v>0.10000000000000012</v>
      </c>
      <c r="G79" s="341">
        <v>437</v>
      </c>
      <c r="H79" s="175">
        <f>G79*1.06</f>
        <v>463.22</v>
      </c>
      <c r="I79" s="342">
        <f t="shared" si="19"/>
        <v>495.18218</v>
      </c>
      <c r="J79" s="342">
        <f>(I79*$M$9)+I79</f>
        <v>524.8931108</v>
      </c>
      <c r="K79" s="342">
        <v>556.3866974480001</v>
      </c>
      <c r="L79" s="342">
        <f t="shared" si="21"/>
        <v>589.76989929488</v>
      </c>
      <c r="M79" s="365">
        <f t="shared" si="20"/>
        <v>0.06</v>
      </c>
      <c r="N79" s="342">
        <f aca="true" t="shared" si="22" ref="N79:N86">(L79*$N$9)+L79</f>
        <v>625.1560932525729</v>
      </c>
      <c r="O79" s="342">
        <f t="shared" si="11"/>
        <v>662.6654588477272</v>
      </c>
    </row>
    <row r="80" spans="1:15" ht="13.5">
      <c r="A80" s="330" t="s">
        <v>1059</v>
      </c>
      <c r="B80" s="12"/>
      <c r="C80" s="27"/>
      <c r="D80" s="27"/>
      <c r="E80" s="27"/>
      <c r="F80" s="343"/>
      <c r="H80" s="66"/>
      <c r="I80" s="265"/>
      <c r="J80" s="265">
        <f>J79*0.6</f>
        <v>314.93586648</v>
      </c>
      <c r="K80" s="265">
        <v>333.8320184688</v>
      </c>
      <c r="L80" s="265">
        <f t="shared" si="21"/>
        <v>353.861939576928</v>
      </c>
      <c r="M80" s="172">
        <f t="shared" si="20"/>
        <v>0.06</v>
      </c>
      <c r="N80" s="265">
        <f t="shared" si="22"/>
        <v>375.0936559515437</v>
      </c>
      <c r="O80" s="265">
        <f t="shared" si="11"/>
        <v>397.5992753086363</v>
      </c>
    </row>
    <row r="81" spans="1:15" ht="13.5">
      <c r="A81" s="330" t="s">
        <v>1060</v>
      </c>
      <c r="B81" s="12"/>
      <c r="C81" s="27"/>
      <c r="D81" s="27"/>
      <c r="E81" s="27"/>
      <c r="F81" s="343"/>
      <c r="H81" s="66"/>
      <c r="I81" s="265"/>
      <c r="J81" s="265">
        <f>J79*0.4</f>
        <v>209.95724432000003</v>
      </c>
      <c r="K81" s="265">
        <v>222.55467897920002</v>
      </c>
      <c r="L81" s="265">
        <f t="shared" si="21"/>
        <v>235.90795971795202</v>
      </c>
      <c r="M81" s="172">
        <f t="shared" si="20"/>
        <v>0.06</v>
      </c>
      <c r="N81" s="265">
        <f t="shared" si="22"/>
        <v>250.06243730102915</v>
      </c>
      <c r="O81" s="265">
        <f t="shared" si="11"/>
        <v>265.0661835390909</v>
      </c>
    </row>
    <row r="82" spans="1:15" s="331" customFormat="1" ht="13.5">
      <c r="A82" s="329" t="s">
        <v>209</v>
      </c>
      <c r="B82" s="348">
        <v>8.910000000000002</v>
      </c>
      <c r="C82" s="35">
        <f>B82*1.1</f>
        <v>9.801000000000004</v>
      </c>
      <c r="D82" s="35">
        <f>C82*1.12</f>
        <v>10.977120000000005</v>
      </c>
      <c r="E82" s="35">
        <f aca="true" t="shared" si="23" ref="E82:E97">D82*1.1</f>
        <v>12.074832000000006</v>
      </c>
      <c r="F82" s="334">
        <f t="shared" si="17"/>
        <v>0.10000000000000007</v>
      </c>
      <c r="G82" s="341">
        <v>14</v>
      </c>
      <c r="H82" s="175">
        <f>G82*1.06</f>
        <v>14.84</v>
      </c>
      <c r="I82" s="342">
        <f t="shared" si="19"/>
        <v>15.863959999999999</v>
      </c>
      <c r="J82" s="342">
        <f>(I82*$M$9)+I82</f>
        <v>16.8157976</v>
      </c>
      <c r="K82" s="342">
        <v>17.824745456</v>
      </c>
      <c r="L82" s="342">
        <f t="shared" si="21"/>
        <v>18.894230183359998</v>
      </c>
      <c r="M82" s="365">
        <f t="shared" si="20"/>
        <v>0.06</v>
      </c>
      <c r="N82" s="342">
        <f t="shared" si="22"/>
        <v>20.0278839943616</v>
      </c>
      <c r="O82" s="342">
        <f t="shared" si="11"/>
        <v>21.229557034023294</v>
      </c>
    </row>
    <row r="83" spans="1:15" s="331" customFormat="1" ht="13.5">
      <c r="A83" s="330" t="s">
        <v>1059</v>
      </c>
      <c r="B83" s="348"/>
      <c r="C83" s="35"/>
      <c r="D83" s="35"/>
      <c r="E83" s="35"/>
      <c r="F83" s="334"/>
      <c r="G83" s="341"/>
      <c r="H83" s="175"/>
      <c r="I83" s="342"/>
      <c r="J83" s="265">
        <f>J82*0.6</f>
        <v>10.08947856</v>
      </c>
      <c r="K83" s="265">
        <v>10.6948472736</v>
      </c>
      <c r="L83" s="265">
        <f t="shared" si="21"/>
        <v>11.336538110016</v>
      </c>
      <c r="M83" s="172">
        <f t="shared" si="20"/>
        <v>0.06</v>
      </c>
      <c r="N83" s="265">
        <f t="shared" si="22"/>
        <v>12.01673039661696</v>
      </c>
      <c r="O83" s="265">
        <f t="shared" si="11"/>
        <v>12.737734220413978</v>
      </c>
    </row>
    <row r="84" spans="1:15" s="331" customFormat="1" ht="13.5">
      <c r="A84" s="330" t="s">
        <v>1060</v>
      </c>
      <c r="B84" s="348"/>
      <c r="C84" s="35"/>
      <c r="D84" s="35"/>
      <c r="E84" s="35"/>
      <c r="F84" s="334"/>
      <c r="G84" s="341"/>
      <c r="H84" s="175"/>
      <c r="I84" s="342"/>
      <c r="J84" s="265">
        <f>J82*0.4</f>
        <v>6.72631904</v>
      </c>
      <c r="K84" s="265">
        <v>7.1298981824</v>
      </c>
      <c r="L84" s="265">
        <f t="shared" si="21"/>
        <v>7.557692073344</v>
      </c>
      <c r="M84" s="172">
        <f t="shared" si="20"/>
        <v>0.06</v>
      </c>
      <c r="N84" s="265">
        <f t="shared" si="22"/>
        <v>8.01115359774464</v>
      </c>
      <c r="O84" s="265">
        <f t="shared" si="11"/>
        <v>8.491822813609318</v>
      </c>
    </row>
    <row r="85" spans="1:15" ht="13.5">
      <c r="A85" s="330" t="s">
        <v>290</v>
      </c>
      <c r="B85" s="12">
        <v>21.384000000000004</v>
      </c>
      <c r="C85" s="27">
        <f>B85*1.1</f>
        <v>23.522400000000005</v>
      </c>
      <c r="D85" s="27">
        <f>C85*1.12</f>
        <v>26.345088000000008</v>
      </c>
      <c r="E85" s="27">
        <f t="shared" si="23"/>
        <v>28.97959680000001</v>
      </c>
      <c r="F85" s="343">
        <f t="shared" si="17"/>
        <v>0.10000000000000006</v>
      </c>
      <c r="G85" s="153">
        <v>33</v>
      </c>
      <c r="H85" s="66">
        <f>G85*1.06</f>
        <v>34.980000000000004</v>
      </c>
      <c r="I85" s="265">
        <f t="shared" si="19"/>
        <v>37.393620000000006</v>
      </c>
      <c r="J85" s="265">
        <f>(I85*$M$9)+I85</f>
        <v>39.63723720000001</v>
      </c>
      <c r="K85" s="265">
        <v>42.01547143200001</v>
      </c>
      <c r="L85" s="265">
        <f t="shared" si="21"/>
        <v>44.53639971792001</v>
      </c>
      <c r="M85" s="172">
        <f t="shared" si="20"/>
        <v>0.06</v>
      </c>
      <c r="N85" s="265">
        <f t="shared" si="22"/>
        <v>47.20858370099521</v>
      </c>
      <c r="O85" s="265">
        <f t="shared" si="11"/>
        <v>50.04109872305492</v>
      </c>
    </row>
    <row r="86" spans="1:15" ht="13.5">
      <c r="A86" s="330" t="s">
        <v>210</v>
      </c>
      <c r="B86" s="12">
        <v>4.989600000000001</v>
      </c>
      <c r="C86" s="27">
        <f>B86*1.1</f>
        <v>5.488560000000001</v>
      </c>
      <c r="D86" s="27">
        <f>C86*1.12</f>
        <v>6.147187200000002</v>
      </c>
      <c r="E86" s="27">
        <f t="shared" si="23"/>
        <v>6.761905920000003</v>
      </c>
      <c r="F86" s="343">
        <f t="shared" si="17"/>
        <v>0.1000000000000001</v>
      </c>
      <c r="G86" s="153">
        <v>8</v>
      </c>
      <c r="H86" s="66">
        <f>G86*1.06</f>
        <v>8.48</v>
      </c>
      <c r="I86" s="265">
        <f t="shared" si="19"/>
        <v>9.06512</v>
      </c>
      <c r="J86" s="265">
        <f>(I86*$M$9)+I86</f>
        <v>9.6090272</v>
      </c>
      <c r="K86" s="265">
        <v>10.185568832</v>
      </c>
      <c r="L86" s="265">
        <f t="shared" si="21"/>
        <v>10.79670296192</v>
      </c>
      <c r="M86" s="172">
        <f t="shared" si="20"/>
        <v>0.06</v>
      </c>
      <c r="N86" s="265">
        <f t="shared" si="22"/>
        <v>11.444505139635199</v>
      </c>
      <c r="O86" s="265">
        <f t="shared" si="11"/>
        <v>12.13117544801331</v>
      </c>
    </row>
    <row r="87" spans="1:15" ht="13.5">
      <c r="A87" s="330"/>
      <c r="B87" s="330"/>
      <c r="C87" s="27"/>
      <c r="D87" s="27"/>
      <c r="E87" s="27"/>
      <c r="F87" s="343"/>
      <c r="I87" s="265"/>
      <c r="J87" s="265"/>
      <c r="K87" s="265"/>
      <c r="L87" s="342"/>
      <c r="M87" s="365"/>
      <c r="N87" s="265"/>
      <c r="O87" s="265"/>
    </row>
    <row r="88" spans="1:15" s="331" customFormat="1" ht="13.5">
      <c r="A88" s="329" t="s">
        <v>1183</v>
      </c>
      <c r="B88" s="329"/>
      <c r="C88" s="35"/>
      <c r="D88" s="35"/>
      <c r="E88" s="35"/>
      <c r="F88" s="334"/>
      <c r="G88" s="341"/>
      <c r="H88" s="341"/>
      <c r="I88" s="342"/>
      <c r="J88" s="342"/>
      <c r="K88" s="342"/>
      <c r="L88" s="342"/>
      <c r="M88" s="365"/>
      <c r="N88" s="265"/>
      <c r="O88" s="265"/>
    </row>
    <row r="89" spans="1:15" ht="13.5">
      <c r="A89" s="330" t="s">
        <v>211</v>
      </c>
      <c r="B89" s="330"/>
      <c r="C89" s="27"/>
      <c r="D89" s="27"/>
      <c r="E89" s="27"/>
      <c r="F89" s="343"/>
      <c r="I89" s="265"/>
      <c r="J89" s="265"/>
      <c r="K89" s="265"/>
      <c r="L89" s="342"/>
      <c r="M89" s="172"/>
      <c r="N89" s="265"/>
      <c r="O89" s="265"/>
    </row>
    <row r="90" spans="1:15" ht="13.5">
      <c r="A90" s="330" t="s">
        <v>212</v>
      </c>
      <c r="B90" s="12">
        <v>85.53600000000002</v>
      </c>
      <c r="C90" s="27">
        <f>B90*1.1</f>
        <v>94.08960000000002</v>
      </c>
      <c r="D90" s="27">
        <f>C90*1.12</f>
        <v>105.38035200000003</v>
      </c>
      <c r="E90" s="27">
        <f t="shared" si="23"/>
        <v>115.91838720000004</v>
      </c>
      <c r="F90" s="343">
        <f t="shared" si="17"/>
        <v>0.10000000000000006</v>
      </c>
      <c r="G90" s="153">
        <v>134</v>
      </c>
      <c r="H90" s="66">
        <f aca="true" t="shared" si="24" ref="H90:H97">G90*1.06</f>
        <v>142.04000000000002</v>
      </c>
      <c r="I90" s="265">
        <f>H90*1.069</f>
        <v>151.84076000000002</v>
      </c>
      <c r="J90" s="265">
        <f>(I90*$M$9)+I90</f>
        <v>160.9512056</v>
      </c>
      <c r="K90" s="265">
        <v>170.608277936</v>
      </c>
      <c r="L90" s="265">
        <f t="shared" si="21"/>
        <v>180.84477461216</v>
      </c>
      <c r="M90" s="172">
        <f t="shared" si="20"/>
        <v>0.06</v>
      </c>
      <c r="N90" s="265">
        <f>(L90*$N$9)+L90</f>
        <v>191.6954610888896</v>
      </c>
      <c r="O90" s="265">
        <f t="shared" si="11"/>
        <v>203.19718875422296</v>
      </c>
    </row>
    <row r="91" spans="1:15" ht="13.5">
      <c r="A91" s="330" t="s">
        <v>213</v>
      </c>
      <c r="B91" s="12">
        <v>534.6000000000001</v>
      </c>
      <c r="C91" s="27">
        <f>B91*1.1</f>
        <v>588.0600000000002</v>
      </c>
      <c r="D91" s="27">
        <f>C91*1.12</f>
        <v>658.6272000000002</v>
      </c>
      <c r="E91" s="27">
        <f t="shared" si="23"/>
        <v>724.4899200000003</v>
      </c>
      <c r="F91" s="343">
        <f t="shared" si="17"/>
        <v>0.10000000000000009</v>
      </c>
      <c r="G91" s="153">
        <v>837</v>
      </c>
      <c r="H91" s="66">
        <f t="shared" si="24"/>
        <v>887.22</v>
      </c>
      <c r="I91" s="265">
        <f aca="true" t="shared" si="25" ref="I91:I97">H91*1.069</f>
        <v>948.43818</v>
      </c>
      <c r="J91" s="265">
        <f>(I91*$M$9)+I91</f>
        <v>1005.3444708</v>
      </c>
      <c r="K91" s="265">
        <v>1065.665139048</v>
      </c>
      <c r="L91" s="265">
        <f t="shared" si="21"/>
        <v>1129.60504739088</v>
      </c>
      <c r="M91" s="172">
        <f t="shared" si="20"/>
        <v>0.06</v>
      </c>
      <c r="N91" s="265">
        <f>(L91*$N$9)+L91</f>
        <v>1197.3813502343328</v>
      </c>
      <c r="O91" s="265">
        <f t="shared" si="11"/>
        <v>1269.2242312483927</v>
      </c>
    </row>
    <row r="92" spans="1:15" ht="13.5">
      <c r="A92" s="330" t="s">
        <v>214</v>
      </c>
      <c r="B92" s="12">
        <v>475.20000000000005</v>
      </c>
      <c r="C92" s="27">
        <f>B92*1.1</f>
        <v>522.7200000000001</v>
      </c>
      <c r="D92" s="27">
        <f>C92*1.12</f>
        <v>585.4464000000003</v>
      </c>
      <c r="E92" s="27">
        <f t="shared" si="23"/>
        <v>643.9910400000003</v>
      </c>
      <c r="F92" s="343">
        <f t="shared" si="17"/>
        <v>0.10000000000000007</v>
      </c>
      <c r="G92" s="153">
        <v>744</v>
      </c>
      <c r="H92" s="66">
        <f t="shared" si="24"/>
        <v>788.64</v>
      </c>
      <c r="I92" s="265">
        <f t="shared" si="25"/>
        <v>843.05616</v>
      </c>
      <c r="J92" s="265">
        <f>(I92*$M$9)+I92</f>
        <v>893.6395296</v>
      </c>
      <c r="K92" s="265">
        <v>947.257901376</v>
      </c>
      <c r="L92" s="265">
        <f t="shared" si="21"/>
        <v>1004.09337545856</v>
      </c>
      <c r="M92" s="172">
        <f t="shared" si="20"/>
        <v>0.06</v>
      </c>
      <c r="N92" s="265">
        <f>(L92*$N$9)+L92</f>
        <v>1064.3389779860736</v>
      </c>
      <c r="O92" s="265">
        <f t="shared" si="11"/>
        <v>1128.199316665238</v>
      </c>
    </row>
    <row r="93" spans="1:15" ht="13.5">
      <c r="A93" s="330"/>
      <c r="B93" s="12"/>
      <c r="C93" s="27"/>
      <c r="D93" s="27"/>
      <c r="E93" s="27"/>
      <c r="F93" s="343"/>
      <c r="I93" s="265"/>
      <c r="J93" s="265"/>
      <c r="K93" s="265"/>
      <c r="L93" s="342"/>
      <c r="M93" s="365"/>
      <c r="N93" s="265"/>
      <c r="O93" s="265">
        <f t="shared" si="11"/>
        <v>0</v>
      </c>
    </row>
    <row r="94" spans="1:15" ht="13.5">
      <c r="A94" s="330" t="s">
        <v>215</v>
      </c>
      <c r="B94" s="12">
        <v>534.6000000000001</v>
      </c>
      <c r="C94" s="27">
        <f>B94*1.1</f>
        <v>588.0600000000002</v>
      </c>
      <c r="D94" s="27">
        <f>C94*1.12</f>
        <v>658.6272000000002</v>
      </c>
      <c r="E94" s="27">
        <f t="shared" si="23"/>
        <v>724.4899200000003</v>
      </c>
      <c r="F94" s="343">
        <f t="shared" si="17"/>
        <v>0.10000000000000009</v>
      </c>
      <c r="G94" s="153">
        <v>837</v>
      </c>
      <c r="H94" s="66">
        <f t="shared" si="24"/>
        <v>887.22</v>
      </c>
      <c r="I94" s="265">
        <f t="shared" si="25"/>
        <v>948.43818</v>
      </c>
      <c r="J94" s="265">
        <f>(I94*$M$9)+I94</f>
        <v>1005.3444708</v>
      </c>
      <c r="K94" s="265">
        <v>1065.665139048</v>
      </c>
      <c r="L94" s="265">
        <f t="shared" si="21"/>
        <v>1129.60504739088</v>
      </c>
      <c r="M94" s="172">
        <f t="shared" si="20"/>
        <v>0.06</v>
      </c>
      <c r="N94" s="265">
        <f>(L94*$N$9)+L94</f>
        <v>1197.3813502343328</v>
      </c>
      <c r="O94" s="265">
        <f t="shared" si="11"/>
        <v>1269.2242312483927</v>
      </c>
    </row>
    <row r="95" spans="1:15" ht="13.5">
      <c r="A95" s="330" t="s">
        <v>216</v>
      </c>
      <c r="B95" s="12">
        <v>475.20000000000005</v>
      </c>
      <c r="C95" s="27">
        <f>B95*1.1</f>
        <v>522.7200000000001</v>
      </c>
      <c r="D95" s="27">
        <f>C95*1.12</f>
        <v>585.4464000000003</v>
      </c>
      <c r="E95" s="27">
        <f t="shared" si="23"/>
        <v>643.9910400000003</v>
      </c>
      <c r="F95" s="343">
        <f t="shared" si="17"/>
        <v>0.10000000000000007</v>
      </c>
      <c r="G95" s="153">
        <v>744</v>
      </c>
      <c r="H95" s="66">
        <f t="shared" si="24"/>
        <v>788.64</v>
      </c>
      <c r="I95" s="265">
        <f t="shared" si="25"/>
        <v>843.05616</v>
      </c>
      <c r="J95" s="265">
        <f>(I95*$M$9)+I95</f>
        <v>893.6395296</v>
      </c>
      <c r="K95" s="265">
        <v>947.257901376</v>
      </c>
      <c r="L95" s="265">
        <f t="shared" si="21"/>
        <v>1004.09337545856</v>
      </c>
      <c r="M95" s="172">
        <f t="shared" si="20"/>
        <v>0.06</v>
      </c>
      <c r="N95" s="265">
        <f>(L95*$N$9)+L95</f>
        <v>1064.3389779860736</v>
      </c>
      <c r="O95" s="265">
        <f t="shared" si="11"/>
        <v>1128.199316665238</v>
      </c>
    </row>
    <row r="96" spans="1:15" ht="13.5">
      <c r="A96" s="330" t="s">
        <v>217</v>
      </c>
      <c r="B96" s="12">
        <v>2138.4000000000005</v>
      </c>
      <c r="C96" s="27">
        <f>B96*1.1</f>
        <v>2352.2400000000007</v>
      </c>
      <c r="D96" s="27">
        <f>C96*1.12</f>
        <v>2634.508800000001</v>
      </c>
      <c r="E96" s="27">
        <f t="shared" si="23"/>
        <v>2897.9596800000013</v>
      </c>
      <c r="F96" s="343">
        <f t="shared" si="17"/>
        <v>0.10000000000000009</v>
      </c>
      <c r="G96" s="153">
        <v>3349</v>
      </c>
      <c r="H96" s="66">
        <f t="shared" si="24"/>
        <v>3549.94</v>
      </c>
      <c r="I96" s="265">
        <f t="shared" si="25"/>
        <v>3794.88586</v>
      </c>
      <c r="J96" s="265">
        <f>(I96*$M$9)+I96</f>
        <v>4022.5790116</v>
      </c>
      <c r="K96" s="265">
        <v>4263.9337522959995</v>
      </c>
      <c r="L96" s="265">
        <f t="shared" si="21"/>
        <v>4519.769777433759</v>
      </c>
      <c r="M96" s="172">
        <f t="shared" si="20"/>
        <v>0.06</v>
      </c>
      <c r="N96" s="265">
        <f>(L96*$N$9)+L96</f>
        <v>4790.955964079785</v>
      </c>
      <c r="O96" s="265">
        <f t="shared" si="11"/>
        <v>5078.413321924572</v>
      </c>
    </row>
    <row r="97" spans="1:15" ht="13.5">
      <c r="A97" s="330" t="s">
        <v>218</v>
      </c>
      <c r="B97" s="12">
        <v>2138.4000000000005</v>
      </c>
      <c r="C97" s="27">
        <f>B97*1.1</f>
        <v>2352.2400000000007</v>
      </c>
      <c r="D97" s="27">
        <f>C97*1.12</f>
        <v>2634.508800000001</v>
      </c>
      <c r="E97" s="27">
        <f t="shared" si="23"/>
        <v>2897.9596800000013</v>
      </c>
      <c r="F97" s="343">
        <f t="shared" si="17"/>
        <v>0.10000000000000009</v>
      </c>
      <c r="G97" s="153">
        <v>3349</v>
      </c>
      <c r="H97" s="66">
        <f t="shared" si="24"/>
        <v>3549.94</v>
      </c>
      <c r="I97" s="265">
        <f t="shared" si="25"/>
        <v>3794.88586</v>
      </c>
      <c r="J97" s="265">
        <f>(I97*$M$9)+I97</f>
        <v>4022.5790116</v>
      </c>
      <c r="K97" s="265">
        <v>4263.9337522959995</v>
      </c>
      <c r="L97" s="265">
        <f t="shared" si="21"/>
        <v>4519.769777433759</v>
      </c>
      <c r="M97" s="172">
        <f t="shared" si="20"/>
        <v>0.06</v>
      </c>
      <c r="N97" s="265">
        <f>(L97*$N$9)+L97</f>
        <v>4790.955964079785</v>
      </c>
      <c r="O97" s="265">
        <f t="shared" si="11"/>
        <v>5078.413321924572</v>
      </c>
    </row>
    <row r="98" spans="7:13" s="528" customFormat="1" ht="13.5">
      <c r="G98" s="529"/>
      <c r="H98" s="530"/>
      <c r="I98" s="441"/>
      <c r="J98" s="441"/>
      <c r="K98" s="441"/>
      <c r="L98" s="441"/>
      <c r="M98" s="531"/>
    </row>
    <row r="99" spans="1:12" ht="40.5">
      <c r="A99" s="553" t="s">
        <v>1242</v>
      </c>
      <c r="J99" s="361"/>
      <c r="K99" s="361"/>
      <c r="L99" s="361"/>
    </row>
    <row r="100" spans="1:12" ht="67.5">
      <c r="A100" s="553" t="s">
        <v>1243</v>
      </c>
      <c r="J100" s="361"/>
      <c r="K100" s="361"/>
      <c r="L100" s="361"/>
    </row>
    <row r="101" spans="1:12" ht="81">
      <c r="A101" s="553" t="s">
        <v>1244</v>
      </c>
      <c r="J101" s="361"/>
      <c r="K101" s="361"/>
      <c r="L101" s="361"/>
    </row>
    <row r="102" spans="1:12" ht="27">
      <c r="A102" s="553" t="s">
        <v>1245</v>
      </c>
      <c r="J102" s="361"/>
      <c r="K102" s="361"/>
      <c r="L102" s="361"/>
    </row>
    <row r="103" spans="1:12" ht="13.5">
      <c r="A103" s="553"/>
      <c r="J103" s="361"/>
      <c r="K103" s="361"/>
      <c r="L103" s="361"/>
    </row>
    <row r="104" ht="40.5">
      <c r="A104" s="703" t="s">
        <v>1170</v>
      </c>
    </row>
    <row r="105" ht="13.5">
      <c r="A105" s="5"/>
    </row>
  </sheetData>
  <sheetProtection/>
  <mergeCells count="1">
    <mergeCell ref="K1:M1"/>
  </mergeCells>
  <printOptions gridLines="1"/>
  <pageMargins left="0.708661417322835" right="0.708661417322835" top="0.748031496062992" bottom="0.748031496062992" header="0.31496062992126" footer="0.31496062992126"/>
  <pageSetup fitToHeight="0" horizontalDpi="600" verticalDpi="600" orientation="landscape" paperSize="9" scale="67" r:id="rId1"/>
  <rowBreaks count="2" manualBreakCount="2">
    <brk id="41" max="14" man="1"/>
    <brk id="77" max="255" man="1"/>
  </rowBreaks>
</worksheet>
</file>

<file path=xl/worksheets/sheet8.xml><?xml version="1.0" encoding="utf-8"?>
<worksheet xmlns="http://schemas.openxmlformats.org/spreadsheetml/2006/main" xmlns:r="http://schemas.openxmlformats.org/officeDocument/2006/relationships">
  <dimension ref="A1:Q56"/>
  <sheetViews>
    <sheetView zoomScale="90" zoomScaleNormal="90" zoomScalePageLayoutView="0" workbookViewId="0" topLeftCell="A1">
      <pane xSplit="1" ySplit="6" topLeftCell="K7" activePane="bottomRight" state="frozen"/>
      <selection pane="topLeft" activeCell="A1" sqref="A1"/>
      <selection pane="topRight" activeCell="C1" sqref="C1"/>
      <selection pane="bottomLeft" activeCell="A6" sqref="A6"/>
      <selection pane="bottomRight" activeCell="O15" sqref="O15"/>
    </sheetView>
  </sheetViews>
  <sheetFormatPr defaultColWidth="9.140625" defaultRowHeight="12.75"/>
  <cols>
    <col min="1" max="1" width="64.57421875" style="3" customWidth="1"/>
    <col min="2" max="2" width="29.421875" style="20" hidden="1" customWidth="1"/>
    <col min="3" max="4" width="16.00390625" style="27" hidden="1" customWidth="1"/>
    <col min="5" max="5" width="21.00390625" style="27" hidden="1" customWidth="1"/>
    <col min="6" max="6" width="11.57421875" style="3" hidden="1" customWidth="1"/>
    <col min="7" max="7" width="12.57421875" style="3" hidden="1" customWidth="1"/>
    <col min="8" max="10" width="14.8515625" style="94" hidden="1" customWidth="1"/>
    <col min="11" max="11" width="14.8515625" style="27" hidden="1" customWidth="1"/>
    <col min="12" max="13" width="14.8515625" style="27" customWidth="1"/>
    <col min="14" max="14" width="12.8515625" style="64" customWidth="1"/>
    <col min="15" max="17" width="14.00390625" style="3" customWidth="1"/>
    <col min="18" max="16384" width="9.140625" style="3" customWidth="1"/>
  </cols>
  <sheetData>
    <row r="1" spans="12:14" ht="18">
      <c r="L1" s="977" t="s">
        <v>1083</v>
      </c>
      <c r="M1" s="977"/>
      <c r="N1" s="977"/>
    </row>
    <row r="2" spans="1:14" s="1" customFormat="1" ht="18">
      <c r="A2" s="707" t="s">
        <v>20</v>
      </c>
      <c r="B2" s="18"/>
      <c r="C2" s="33"/>
      <c r="D2" s="33"/>
      <c r="E2" s="33"/>
      <c r="H2" s="26"/>
      <c r="I2" s="26"/>
      <c r="J2" s="26"/>
      <c r="K2" s="33"/>
      <c r="L2" s="33"/>
      <c r="M2" s="33"/>
      <c r="N2" s="97"/>
    </row>
    <row r="3" spans="1:14" s="1" customFormat="1" ht="18">
      <c r="A3" s="5" t="s">
        <v>1518</v>
      </c>
      <c r="B3" s="18"/>
      <c r="C3" s="33"/>
      <c r="D3" s="33"/>
      <c r="E3" s="33"/>
      <c r="H3" s="26"/>
      <c r="I3" s="26"/>
      <c r="J3" s="26"/>
      <c r="K3" s="33"/>
      <c r="L3" s="33"/>
      <c r="M3" s="33"/>
      <c r="N3" s="97"/>
    </row>
    <row r="4" spans="2:14" s="1" customFormat="1" ht="18">
      <c r="B4" s="18"/>
      <c r="C4" s="33"/>
      <c r="D4" s="33"/>
      <c r="E4" s="33"/>
      <c r="H4" s="26"/>
      <c r="I4" s="26"/>
      <c r="J4" s="26"/>
      <c r="K4" s="33"/>
      <c r="L4" s="33"/>
      <c r="M4" s="33"/>
      <c r="N4" s="97"/>
    </row>
    <row r="5" ht="14.25">
      <c r="A5" s="696" t="s">
        <v>311</v>
      </c>
    </row>
    <row r="6" spans="1:17" s="2" customFormat="1" ht="68.25" customHeight="1">
      <c r="A6" s="5" t="s">
        <v>367</v>
      </c>
      <c r="B6" s="19" t="s">
        <v>365</v>
      </c>
      <c r="C6" s="34" t="s">
        <v>370</v>
      </c>
      <c r="D6" s="34" t="s">
        <v>529</v>
      </c>
      <c r="E6" s="34" t="s">
        <v>566</v>
      </c>
      <c r="F6" s="2" t="s">
        <v>22</v>
      </c>
      <c r="G6" s="2" t="s">
        <v>960</v>
      </c>
      <c r="H6" s="96" t="s">
        <v>825</v>
      </c>
      <c r="I6" s="96" t="s">
        <v>921</v>
      </c>
      <c r="J6" s="96" t="s">
        <v>965</v>
      </c>
      <c r="K6" s="664" t="s">
        <v>1281</v>
      </c>
      <c r="L6" s="664" t="s">
        <v>1280</v>
      </c>
      <c r="M6" s="664" t="s">
        <v>1512</v>
      </c>
      <c r="N6" s="98" t="s">
        <v>22</v>
      </c>
      <c r="O6" s="660" t="s">
        <v>1513</v>
      </c>
      <c r="P6" s="661" t="s">
        <v>1514</v>
      </c>
      <c r="Q6" s="661"/>
    </row>
    <row r="7" spans="2:16" ht="12.75">
      <c r="B7" s="19" t="s">
        <v>366</v>
      </c>
      <c r="C7" s="35" t="s">
        <v>366</v>
      </c>
      <c r="D7" s="35" t="s">
        <v>366</v>
      </c>
      <c r="E7" s="35" t="s">
        <v>366</v>
      </c>
      <c r="F7" s="2" t="s">
        <v>371</v>
      </c>
      <c r="G7" s="2"/>
      <c r="H7" s="95" t="s">
        <v>366</v>
      </c>
      <c r="I7" s="95"/>
      <c r="J7" s="262" t="s">
        <v>366</v>
      </c>
      <c r="K7" s="263" t="s">
        <v>366</v>
      </c>
      <c r="L7" s="263" t="s">
        <v>366</v>
      </c>
      <c r="M7" s="263" t="s">
        <v>366</v>
      </c>
      <c r="N7" s="264" t="s">
        <v>371</v>
      </c>
      <c r="O7" s="263" t="s">
        <v>366</v>
      </c>
      <c r="P7" s="263" t="s">
        <v>366</v>
      </c>
    </row>
    <row r="8" spans="1:16" ht="12.75">
      <c r="A8" s="2" t="s">
        <v>373</v>
      </c>
      <c r="K8" s="725">
        <v>0.06</v>
      </c>
      <c r="L8" s="725">
        <v>0</v>
      </c>
      <c r="M8" s="726"/>
      <c r="N8" s="725">
        <v>0</v>
      </c>
      <c r="O8" s="725">
        <v>0</v>
      </c>
      <c r="P8" s="725">
        <v>0.06</v>
      </c>
    </row>
    <row r="9" spans="1:16" ht="12.75">
      <c r="A9" s="3" t="s">
        <v>101</v>
      </c>
      <c r="B9" s="21">
        <v>600</v>
      </c>
      <c r="C9" s="27">
        <f>B9*1.1</f>
        <v>660</v>
      </c>
      <c r="D9" s="27">
        <f>C9*1.1</f>
        <v>726.0000000000001</v>
      </c>
      <c r="E9" s="27">
        <f>D9*1.1</f>
        <v>798.6000000000001</v>
      </c>
      <c r="F9" s="4">
        <f>(E9-D9)/D9</f>
        <v>0.10000000000000002</v>
      </c>
      <c r="G9" s="27">
        <v>862.4880000000002</v>
      </c>
      <c r="H9" s="94">
        <v>922.8621600000002</v>
      </c>
      <c r="I9" s="112">
        <f>H9*1.06</f>
        <v>978.2338896000003</v>
      </c>
      <c r="J9" s="265">
        <f>I9*1.06</f>
        <v>1036.9279229760004</v>
      </c>
      <c r="K9" s="265">
        <f>(J9*$K$8)+J9</f>
        <v>1099.1435983545605</v>
      </c>
      <c r="L9" s="265">
        <f>(K9*$N$8)+K9</f>
        <v>1099.1435983545605</v>
      </c>
      <c r="M9" s="265">
        <f>(L9*N9)+L9</f>
        <v>1099.1435983545605</v>
      </c>
      <c r="N9" s="110">
        <f>(L9-K9)/K9</f>
        <v>0</v>
      </c>
      <c r="O9" s="265">
        <f>(M9*$O$8)+M9</f>
        <v>1099.1435983545605</v>
      </c>
      <c r="P9" s="265">
        <f>(O9*$P$8)+O9</f>
        <v>1165.092214255834</v>
      </c>
    </row>
    <row r="10" spans="1:16" ht="12.75">
      <c r="A10" s="3" t="s">
        <v>102</v>
      </c>
      <c r="B10" s="21">
        <v>810</v>
      </c>
      <c r="C10" s="27">
        <f aca="true" t="shared" si="0" ref="C10:C16">B10*1.1</f>
        <v>891.0000000000001</v>
      </c>
      <c r="D10" s="27">
        <f>C10*1.1</f>
        <v>980.1000000000003</v>
      </c>
      <c r="E10" s="27">
        <f>D10*1.1</f>
        <v>1078.1100000000004</v>
      </c>
      <c r="F10" s="4">
        <f aca="true" t="shared" si="1" ref="F10:F38">(E10-D10)/D10</f>
        <v>0.10000000000000007</v>
      </c>
      <c r="G10" s="27">
        <v>1164.3588000000004</v>
      </c>
      <c r="H10" s="94">
        <v>1245.8639160000005</v>
      </c>
      <c r="I10" s="66">
        <f>H10*1.06</f>
        <v>1320.6157509600005</v>
      </c>
      <c r="J10" s="265">
        <f aca="true" t="shared" si="2" ref="J10:J48">I10*1.06</f>
        <v>1399.8526960176005</v>
      </c>
      <c r="K10" s="265">
        <f aca="true" t="shared" si="3" ref="K10:K16">(J10*$K$8)+J10</f>
        <v>1483.8438577786565</v>
      </c>
      <c r="L10" s="265">
        <f>(K10*$N$8)+K10</f>
        <v>1483.8438577786565</v>
      </c>
      <c r="M10" s="265">
        <f>(L10*N10)+L10</f>
        <v>1483.8438577786565</v>
      </c>
      <c r="N10" s="110">
        <f aca="true" t="shared" si="4" ref="N10:N39">(L10-K10)/K10</f>
        <v>0</v>
      </c>
      <c r="O10" s="265">
        <f aca="true" t="shared" si="5" ref="O10:O48">(M10*$O$8)+M10</f>
        <v>1483.8438577786565</v>
      </c>
      <c r="P10" s="265">
        <f>(O10*$P$8)+O10</f>
        <v>1572.8744892453758</v>
      </c>
    </row>
    <row r="11" spans="1:16" ht="12.75">
      <c r="A11" s="3" t="s">
        <v>480</v>
      </c>
      <c r="B11" s="21">
        <v>1090</v>
      </c>
      <c r="C11" s="27">
        <f t="shared" si="0"/>
        <v>1199</v>
      </c>
      <c r="D11" s="27">
        <f>C11*1.1</f>
        <v>1318.9</v>
      </c>
      <c r="E11" s="27">
        <f>D11*1.1</f>
        <v>1450.7900000000002</v>
      </c>
      <c r="F11" s="4">
        <f t="shared" si="1"/>
        <v>0.10000000000000007</v>
      </c>
      <c r="G11" s="27">
        <v>1566.8532000000002</v>
      </c>
      <c r="H11" s="94">
        <v>1676.5329240000003</v>
      </c>
      <c r="I11" s="66">
        <f>H11*1.06</f>
        <v>1777.1248994400005</v>
      </c>
      <c r="J11" s="265">
        <f t="shared" si="2"/>
        <v>1883.7523934064006</v>
      </c>
      <c r="K11" s="265">
        <f t="shared" si="3"/>
        <v>1996.7775370107847</v>
      </c>
      <c r="L11" s="265">
        <f aca="true" t="shared" si="6" ref="L11:L16">(K11*$N$8)+K11</f>
        <v>1996.7775370107847</v>
      </c>
      <c r="M11" s="265">
        <f>(L11*N11)+L11</f>
        <v>1996.7775370107847</v>
      </c>
      <c r="N11" s="110">
        <f t="shared" si="4"/>
        <v>0</v>
      </c>
      <c r="O11" s="265">
        <f t="shared" si="5"/>
        <v>1996.7775370107847</v>
      </c>
      <c r="P11" s="265">
        <f>(O11*$P$8)+O11</f>
        <v>2116.584189231432</v>
      </c>
    </row>
    <row r="12" spans="2:16" ht="12.75">
      <c r="B12" s="21"/>
      <c r="F12" s="4"/>
      <c r="G12" s="4"/>
      <c r="I12" s="27"/>
      <c r="J12" s="265"/>
      <c r="K12" s="265"/>
      <c r="L12" s="265"/>
      <c r="M12" s="265"/>
      <c r="N12" s="110"/>
      <c r="P12" s="265"/>
    </row>
    <row r="13" spans="1:16" ht="12.75">
      <c r="A13" s="3" t="s">
        <v>481</v>
      </c>
      <c r="B13" s="21">
        <v>440</v>
      </c>
      <c r="C13" s="27">
        <f t="shared" si="0"/>
        <v>484.00000000000006</v>
      </c>
      <c r="D13" s="27">
        <f aca="true" t="shared" si="7" ref="D13:E16">C13*1.1</f>
        <v>532.4000000000001</v>
      </c>
      <c r="E13" s="27">
        <f t="shared" si="7"/>
        <v>585.6400000000001</v>
      </c>
      <c r="F13" s="4">
        <f t="shared" si="1"/>
        <v>0.1</v>
      </c>
      <c r="G13" s="27">
        <v>632.4912000000002</v>
      </c>
      <c r="H13" s="94">
        <v>676.7655840000002</v>
      </c>
      <c r="I13" s="66">
        <f>H13*1.06</f>
        <v>717.3715190400003</v>
      </c>
      <c r="J13" s="265">
        <f t="shared" si="2"/>
        <v>760.4138101824003</v>
      </c>
      <c r="K13" s="265">
        <f t="shared" si="3"/>
        <v>806.0386387933444</v>
      </c>
      <c r="L13" s="265">
        <f t="shared" si="6"/>
        <v>806.0386387933444</v>
      </c>
      <c r="M13" s="265">
        <f>(L13*N13)+L13</f>
        <v>806.0386387933444</v>
      </c>
      <c r="N13" s="110">
        <f t="shared" si="4"/>
        <v>0</v>
      </c>
      <c r="O13" s="265">
        <f t="shared" si="5"/>
        <v>806.0386387933444</v>
      </c>
      <c r="P13" s="265">
        <f>(O13*$P$8)+O13</f>
        <v>854.400957120945</v>
      </c>
    </row>
    <row r="14" spans="1:16" ht="12.75">
      <c r="A14" s="3" t="s">
        <v>482</v>
      </c>
      <c r="B14" s="21">
        <v>550</v>
      </c>
      <c r="C14" s="27">
        <f t="shared" si="0"/>
        <v>605</v>
      </c>
      <c r="D14" s="27">
        <f t="shared" si="7"/>
        <v>665.5</v>
      </c>
      <c r="E14" s="27">
        <f t="shared" si="7"/>
        <v>732.0500000000001</v>
      </c>
      <c r="F14" s="4">
        <f t="shared" si="1"/>
        <v>0.1000000000000001</v>
      </c>
      <c r="G14" s="27">
        <v>790.6140000000001</v>
      </c>
      <c r="H14" s="94">
        <v>845.9569800000002</v>
      </c>
      <c r="I14" s="66">
        <f>H14*1.06</f>
        <v>896.7143988000003</v>
      </c>
      <c r="J14" s="265">
        <f t="shared" si="2"/>
        <v>950.5172627280003</v>
      </c>
      <c r="K14" s="265">
        <f t="shared" si="3"/>
        <v>1007.5482984916804</v>
      </c>
      <c r="L14" s="265">
        <f t="shared" si="6"/>
        <v>1007.5482984916804</v>
      </c>
      <c r="M14" s="265">
        <f>(L14*N14)+L14</f>
        <v>1007.5482984916804</v>
      </c>
      <c r="N14" s="110">
        <f t="shared" si="4"/>
        <v>0</v>
      </c>
      <c r="O14" s="265">
        <f t="shared" si="5"/>
        <v>1007.5482984916804</v>
      </c>
      <c r="P14" s="265">
        <f>(O14*$P$8)+O14</f>
        <v>1068.0011964011812</v>
      </c>
    </row>
    <row r="15" spans="1:16" ht="12.75">
      <c r="A15" s="3" t="s">
        <v>483</v>
      </c>
      <c r="B15" s="21">
        <v>660</v>
      </c>
      <c r="C15" s="27">
        <f t="shared" si="0"/>
        <v>726.0000000000001</v>
      </c>
      <c r="D15" s="27">
        <f t="shared" si="7"/>
        <v>798.6000000000001</v>
      </c>
      <c r="E15" s="27">
        <f t="shared" si="7"/>
        <v>878.4600000000003</v>
      </c>
      <c r="F15" s="4">
        <f t="shared" si="1"/>
        <v>0.10000000000000014</v>
      </c>
      <c r="G15" s="27">
        <v>948.7368000000004</v>
      </c>
      <c r="H15" s="94">
        <v>1015.1483760000004</v>
      </c>
      <c r="I15" s="66">
        <f>H15*1.06</f>
        <v>1076.0572785600004</v>
      </c>
      <c r="J15" s="265">
        <f t="shared" si="2"/>
        <v>1140.6207152736006</v>
      </c>
      <c r="K15" s="265">
        <f t="shared" si="3"/>
        <v>1209.0579581900165</v>
      </c>
      <c r="L15" s="265">
        <f t="shared" si="6"/>
        <v>1209.0579581900165</v>
      </c>
      <c r="M15" s="265">
        <f>(L15*N15)+L15</f>
        <v>1209.0579581900165</v>
      </c>
      <c r="N15" s="110">
        <f t="shared" si="4"/>
        <v>0</v>
      </c>
      <c r="O15" s="265">
        <f t="shared" si="5"/>
        <v>1209.0579581900165</v>
      </c>
      <c r="P15" s="265">
        <f>(O15*$P$8)+O15</f>
        <v>1281.6014356814176</v>
      </c>
    </row>
    <row r="16" spans="1:16" ht="12.75">
      <c r="A16" s="3" t="s">
        <v>484</v>
      </c>
      <c r="B16" s="21">
        <v>330</v>
      </c>
      <c r="C16" s="27">
        <f t="shared" si="0"/>
        <v>363.00000000000006</v>
      </c>
      <c r="D16" s="27">
        <f t="shared" si="7"/>
        <v>399.30000000000007</v>
      </c>
      <c r="E16" s="27">
        <f t="shared" si="7"/>
        <v>439.23000000000013</v>
      </c>
      <c r="F16" s="4">
        <f t="shared" si="1"/>
        <v>0.10000000000000014</v>
      </c>
      <c r="G16" s="27">
        <v>474.3684000000002</v>
      </c>
      <c r="H16" s="94">
        <v>507.5741880000002</v>
      </c>
      <c r="I16" s="66">
        <f>H16*1.06</f>
        <v>538.0286392800002</v>
      </c>
      <c r="J16" s="265">
        <f t="shared" si="2"/>
        <v>570.3103576368003</v>
      </c>
      <c r="K16" s="265">
        <f t="shared" si="3"/>
        <v>604.5289790950083</v>
      </c>
      <c r="L16" s="265">
        <f t="shared" si="6"/>
        <v>604.5289790950083</v>
      </c>
      <c r="M16" s="265">
        <f>(L16*N16)+L16</f>
        <v>604.5289790950083</v>
      </c>
      <c r="N16" s="110">
        <f t="shared" si="4"/>
        <v>0</v>
      </c>
      <c r="O16" s="265">
        <f t="shared" si="5"/>
        <v>604.5289790950083</v>
      </c>
      <c r="P16" s="265">
        <f>(O16*$P$8)+O16</f>
        <v>640.8007178407088</v>
      </c>
    </row>
    <row r="17" spans="6:16" ht="12.75">
      <c r="F17" s="4"/>
      <c r="G17" s="4"/>
      <c r="I17" s="27"/>
      <c r="J17" s="265"/>
      <c r="K17" s="265"/>
      <c r="L17" s="265"/>
      <c r="M17" s="265"/>
      <c r="N17" s="110"/>
      <c r="P17" s="265"/>
    </row>
    <row r="18" spans="1:16" ht="12.75">
      <c r="A18" s="2" t="s">
        <v>374</v>
      </c>
      <c r="F18" s="4"/>
      <c r="G18" s="4"/>
      <c r="I18" s="27"/>
      <c r="J18" s="265"/>
      <c r="K18" s="265"/>
      <c r="L18" s="265"/>
      <c r="M18" s="265"/>
      <c r="N18" s="110"/>
      <c r="P18" s="265"/>
    </row>
    <row r="19" spans="1:16" ht="12.75">
      <c r="A19" s="3" t="s">
        <v>101</v>
      </c>
      <c r="B19" s="21">
        <v>1010</v>
      </c>
      <c r="C19" s="27">
        <f aca="true" t="shared" si="8" ref="C19:C28">B19*1.1</f>
        <v>1111</v>
      </c>
      <c r="D19" s="27">
        <f aca="true" t="shared" si="9" ref="D19:E21">C19*1.1</f>
        <v>1222.1000000000001</v>
      </c>
      <c r="E19" s="27">
        <f t="shared" si="9"/>
        <v>1344.3100000000002</v>
      </c>
      <c r="F19" s="4">
        <f t="shared" si="1"/>
        <v>0.10000000000000002</v>
      </c>
      <c r="G19" s="27">
        <v>1451.8548000000003</v>
      </c>
      <c r="H19" s="94">
        <v>1553.4846360000004</v>
      </c>
      <c r="I19" s="66">
        <f>H19*1.06</f>
        <v>1646.6937141600006</v>
      </c>
      <c r="J19" s="265">
        <f t="shared" si="2"/>
        <v>1745.4953370096007</v>
      </c>
      <c r="K19" s="265">
        <f>(J19*$K$8)+J19</f>
        <v>1850.2250572301768</v>
      </c>
      <c r="L19" s="265">
        <f>(K19*$N$8)+K19</f>
        <v>1850.2250572301768</v>
      </c>
      <c r="M19" s="265">
        <f>(L19*N19)+L19</f>
        <v>1850.2250572301768</v>
      </c>
      <c r="N19" s="110">
        <f t="shared" si="4"/>
        <v>0</v>
      </c>
      <c r="O19" s="265">
        <f t="shared" si="5"/>
        <v>1850.2250572301768</v>
      </c>
      <c r="P19" s="265">
        <f aca="true" t="shared" si="10" ref="P19:P48">(O19*$P$8)+O19</f>
        <v>1961.2385606639875</v>
      </c>
    </row>
    <row r="20" spans="1:16" ht="12.75">
      <c r="A20" s="3" t="s">
        <v>102</v>
      </c>
      <c r="B20" s="21">
        <v>1250</v>
      </c>
      <c r="C20" s="27">
        <f t="shared" si="8"/>
        <v>1375</v>
      </c>
      <c r="D20" s="27">
        <f t="shared" si="9"/>
        <v>1512.5000000000002</v>
      </c>
      <c r="E20" s="27">
        <f t="shared" si="9"/>
        <v>1663.7500000000005</v>
      </c>
      <c r="F20" s="4">
        <f t="shared" si="1"/>
        <v>0.10000000000000013</v>
      </c>
      <c r="G20" s="27">
        <v>1796.8500000000006</v>
      </c>
      <c r="H20" s="94">
        <v>1922.6295000000007</v>
      </c>
      <c r="I20" s="66">
        <f>H20*1.06</f>
        <v>2037.9872700000008</v>
      </c>
      <c r="J20" s="265">
        <f t="shared" si="2"/>
        <v>2160.266506200001</v>
      </c>
      <c r="K20" s="265">
        <f>(J20*$K$8)+J20</f>
        <v>2289.882496572001</v>
      </c>
      <c r="L20" s="265">
        <f>(K20*$N$8)+K20</f>
        <v>2289.882496572001</v>
      </c>
      <c r="M20" s="265">
        <f>(L20*N20)+L20</f>
        <v>2289.882496572001</v>
      </c>
      <c r="N20" s="110">
        <f t="shared" si="4"/>
        <v>0</v>
      </c>
      <c r="O20" s="265">
        <f t="shared" si="5"/>
        <v>2289.882496572001</v>
      </c>
      <c r="P20" s="265">
        <f t="shared" si="10"/>
        <v>2427.275446366321</v>
      </c>
    </row>
    <row r="21" spans="1:16" ht="12.75">
      <c r="A21" s="3" t="s">
        <v>485</v>
      </c>
      <c r="B21" s="21">
        <v>1640</v>
      </c>
      <c r="C21" s="27">
        <f t="shared" si="8"/>
        <v>1804.0000000000002</v>
      </c>
      <c r="D21" s="27">
        <f t="shared" si="9"/>
        <v>1984.4000000000003</v>
      </c>
      <c r="E21" s="27">
        <f t="shared" si="9"/>
        <v>2182.8400000000006</v>
      </c>
      <c r="F21" s="4">
        <f t="shared" si="1"/>
        <v>0.10000000000000013</v>
      </c>
      <c r="G21" s="27">
        <v>2357.467200000001</v>
      </c>
      <c r="H21" s="94">
        <v>2522.4899040000014</v>
      </c>
      <c r="I21" s="66">
        <f>H21*1.06</f>
        <v>2673.8392982400014</v>
      </c>
      <c r="J21" s="265">
        <f t="shared" si="2"/>
        <v>2834.2696561344014</v>
      </c>
      <c r="K21" s="265">
        <f>(J21*$K$8)+J21</f>
        <v>3004.3258355024655</v>
      </c>
      <c r="L21" s="265">
        <f>(K21*$N$8)+K21</f>
        <v>3004.3258355024655</v>
      </c>
      <c r="M21" s="265">
        <f>(L21*N21)+L21</f>
        <v>3004.3258355024655</v>
      </c>
      <c r="N21" s="110">
        <f t="shared" si="4"/>
        <v>0</v>
      </c>
      <c r="O21" s="265">
        <f t="shared" si="5"/>
        <v>3004.3258355024655</v>
      </c>
      <c r="P21" s="265">
        <f t="shared" si="10"/>
        <v>3184.5853856326135</v>
      </c>
    </row>
    <row r="22" spans="2:16" ht="12.75">
      <c r="B22" s="21"/>
      <c r="F22" s="4"/>
      <c r="G22" s="4"/>
      <c r="I22" s="27"/>
      <c r="J22" s="265"/>
      <c r="K22" s="265"/>
      <c r="L22" s="265"/>
      <c r="M22" s="265"/>
      <c r="N22" s="110"/>
      <c r="O22" s="265"/>
      <c r="P22" s="265"/>
    </row>
    <row r="23" spans="1:16" ht="12.75">
      <c r="A23" s="3" t="s">
        <v>481</v>
      </c>
      <c r="B23" s="21">
        <v>616</v>
      </c>
      <c r="C23" s="27">
        <f aca="true" t="shared" si="11" ref="C23:E24">B23*1.1</f>
        <v>677.6</v>
      </c>
      <c r="D23" s="27">
        <f t="shared" si="11"/>
        <v>745.3600000000001</v>
      </c>
      <c r="E23" s="27">
        <f t="shared" si="11"/>
        <v>819.8960000000002</v>
      </c>
      <c r="F23" s="4">
        <f t="shared" si="1"/>
        <v>0.10000000000000006</v>
      </c>
      <c r="G23" s="27">
        <v>885.4876800000003</v>
      </c>
      <c r="H23" s="94">
        <v>947.4718176000003</v>
      </c>
      <c r="I23" s="66">
        <f>H23*1.06</f>
        <v>1004.3201266560004</v>
      </c>
      <c r="J23" s="265">
        <f t="shared" si="2"/>
        <v>1064.5793342553604</v>
      </c>
      <c r="K23" s="265">
        <f aca="true" t="shared" si="12" ref="K23:K28">(J23*$K$8)+J23</f>
        <v>1128.454094310682</v>
      </c>
      <c r="L23" s="265">
        <f aca="true" t="shared" si="13" ref="L23:L28">(K23*$N$8)+K23</f>
        <v>1128.454094310682</v>
      </c>
      <c r="M23" s="265">
        <f aca="true" t="shared" si="14" ref="M23:M28">(L23*N23)+L23</f>
        <v>1128.454094310682</v>
      </c>
      <c r="N23" s="110">
        <f t="shared" si="4"/>
        <v>0</v>
      </c>
      <c r="O23" s="265">
        <f t="shared" si="5"/>
        <v>1128.454094310682</v>
      </c>
      <c r="P23" s="265">
        <f t="shared" si="10"/>
        <v>1196.1613399693229</v>
      </c>
    </row>
    <row r="24" spans="1:16" ht="12.75">
      <c r="A24" s="3" t="s">
        <v>482</v>
      </c>
      <c r="B24" s="21">
        <v>726</v>
      </c>
      <c r="C24" s="27">
        <f t="shared" si="11"/>
        <v>798.6</v>
      </c>
      <c r="D24" s="27">
        <f t="shared" si="11"/>
        <v>878.4600000000002</v>
      </c>
      <c r="E24" s="27">
        <f t="shared" si="11"/>
        <v>966.3060000000003</v>
      </c>
      <c r="F24" s="4">
        <f t="shared" si="1"/>
        <v>0.10000000000000012</v>
      </c>
      <c r="G24" s="27">
        <v>1043.6104800000003</v>
      </c>
      <c r="H24" s="94">
        <v>1116.6632136000003</v>
      </c>
      <c r="I24" s="66">
        <f>H24*1.06</f>
        <v>1183.6630064160004</v>
      </c>
      <c r="J24" s="265">
        <f t="shared" si="2"/>
        <v>1254.6827868009605</v>
      </c>
      <c r="K24" s="265">
        <f t="shared" si="12"/>
        <v>1329.963754009018</v>
      </c>
      <c r="L24" s="265">
        <f t="shared" si="13"/>
        <v>1329.963754009018</v>
      </c>
      <c r="M24" s="265">
        <f t="shared" si="14"/>
        <v>1329.963754009018</v>
      </c>
      <c r="N24" s="110">
        <f t="shared" si="4"/>
        <v>0</v>
      </c>
      <c r="O24" s="265">
        <f t="shared" si="5"/>
        <v>1329.963754009018</v>
      </c>
      <c r="P24" s="265">
        <f t="shared" si="10"/>
        <v>1409.761579249559</v>
      </c>
    </row>
    <row r="25" spans="1:16" ht="12.75">
      <c r="A25" s="3" t="s">
        <v>486</v>
      </c>
      <c r="B25" s="21">
        <v>840</v>
      </c>
      <c r="C25" s="27">
        <f t="shared" si="8"/>
        <v>924.0000000000001</v>
      </c>
      <c r="D25" s="27">
        <f aca="true" t="shared" si="15" ref="D25:E28">C25*1.1</f>
        <v>1016.4000000000002</v>
      </c>
      <c r="E25" s="27">
        <f t="shared" si="15"/>
        <v>1118.0400000000004</v>
      </c>
      <c r="F25" s="4">
        <f t="shared" si="1"/>
        <v>0.10000000000000019</v>
      </c>
      <c r="G25" s="27">
        <v>1207.4832000000006</v>
      </c>
      <c r="H25" s="94">
        <v>1292.0070240000007</v>
      </c>
      <c r="I25" s="66">
        <f>H25*1.06</f>
        <v>1369.5274454400007</v>
      </c>
      <c r="J25" s="265">
        <f t="shared" si="2"/>
        <v>1451.6990921664008</v>
      </c>
      <c r="K25" s="265">
        <f t="shared" si="12"/>
        <v>1538.8010376963848</v>
      </c>
      <c r="L25" s="265">
        <f t="shared" si="13"/>
        <v>1538.8010376963848</v>
      </c>
      <c r="M25" s="265">
        <f t="shared" si="14"/>
        <v>1538.8010376963848</v>
      </c>
      <c r="N25" s="110">
        <f t="shared" si="4"/>
        <v>0</v>
      </c>
      <c r="O25" s="265">
        <f t="shared" si="5"/>
        <v>1538.8010376963848</v>
      </c>
      <c r="P25" s="265">
        <f t="shared" si="10"/>
        <v>1631.129099958168</v>
      </c>
    </row>
    <row r="26" spans="1:16" s="36" customFormat="1" ht="13.5" hidden="1">
      <c r="A26" s="36" t="s">
        <v>105</v>
      </c>
      <c r="B26" s="37">
        <v>1423.0080000000003</v>
      </c>
      <c r="C26" s="38">
        <f t="shared" si="8"/>
        <v>1565.3088000000005</v>
      </c>
      <c r="D26" s="27">
        <f t="shared" si="15"/>
        <v>1721.8396800000007</v>
      </c>
      <c r="E26" s="27">
        <f t="shared" si="15"/>
        <v>1894.023648000001</v>
      </c>
      <c r="F26" s="4">
        <f t="shared" si="1"/>
        <v>0.10000000000000012</v>
      </c>
      <c r="G26" s="27">
        <v>2045.5455398400013</v>
      </c>
      <c r="H26" s="94">
        <v>2188.7337276288017</v>
      </c>
      <c r="I26" s="66">
        <f>H26*1.07</f>
        <v>2341.945088562818</v>
      </c>
      <c r="J26" s="265">
        <f t="shared" si="2"/>
        <v>2482.4617938765873</v>
      </c>
      <c r="K26" s="265">
        <f t="shared" si="12"/>
        <v>2631.4095015091825</v>
      </c>
      <c r="L26" s="265">
        <f t="shared" si="13"/>
        <v>2631.4095015091825</v>
      </c>
      <c r="M26" s="265">
        <f t="shared" si="14"/>
        <v>2631.4095015091825</v>
      </c>
      <c r="N26" s="110">
        <f t="shared" si="4"/>
        <v>0</v>
      </c>
      <c r="O26" s="265">
        <f t="shared" si="5"/>
        <v>2631.4095015091825</v>
      </c>
      <c r="P26" s="265">
        <f t="shared" si="10"/>
        <v>2789.2940715997333</v>
      </c>
    </row>
    <row r="27" spans="1:16" s="36" customFormat="1" ht="13.5" hidden="1">
      <c r="A27" s="36" t="s">
        <v>103</v>
      </c>
      <c r="B27" s="37">
        <v>1702.9440000000004</v>
      </c>
      <c r="C27" s="38">
        <f t="shared" si="8"/>
        <v>1873.2384000000006</v>
      </c>
      <c r="D27" s="27">
        <f t="shared" si="15"/>
        <v>2060.5622400000007</v>
      </c>
      <c r="E27" s="27">
        <f t="shared" si="15"/>
        <v>2266.618464000001</v>
      </c>
      <c r="F27" s="4">
        <f t="shared" si="1"/>
        <v>0.10000000000000016</v>
      </c>
      <c r="G27" s="27">
        <v>2447.9479411200014</v>
      </c>
      <c r="H27" s="94">
        <v>2619.3042969984017</v>
      </c>
      <c r="I27" s="66">
        <f>H27*1.07</f>
        <v>2802.65559778829</v>
      </c>
      <c r="J27" s="265">
        <f t="shared" si="2"/>
        <v>2970.8149336555875</v>
      </c>
      <c r="K27" s="265">
        <f t="shared" si="12"/>
        <v>3149.063829674923</v>
      </c>
      <c r="L27" s="265">
        <f t="shared" si="13"/>
        <v>3149.063829674923</v>
      </c>
      <c r="M27" s="265">
        <f t="shared" si="14"/>
        <v>3149.063829674923</v>
      </c>
      <c r="N27" s="110">
        <f t="shared" si="4"/>
        <v>0</v>
      </c>
      <c r="O27" s="265">
        <f t="shared" si="5"/>
        <v>3149.063829674923</v>
      </c>
      <c r="P27" s="265">
        <f t="shared" si="10"/>
        <v>3338.0076594554184</v>
      </c>
    </row>
    <row r="28" spans="1:16" ht="12.75">
      <c r="A28" s="3" t="s">
        <v>104</v>
      </c>
      <c r="B28" s="21">
        <v>440</v>
      </c>
      <c r="C28" s="27">
        <f t="shared" si="8"/>
        <v>484.00000000000006</v>
      </c>
      <c r="D28" s="27">
        <f t="shared" si="15"/>
        <v>532.4000000000001</v>
      </c>
      <c r="E28" s="27">
        <f t="shared" si="15"/>
        <v>585.6400000000001</v>
      </c>
      <c r="F28" s="4">
        <f t="shared" si="1"/>
        <v>0.1</v>
      </c>
      <c r="G28" s="27">
        <v>632.4912000000002</v>
      </c>
      <c r="H28" s="94">
        <v>676.7655840000002</v>
      </c>
      <c r="I28" s="66">
        <f>H28*1.06</f>
        <v>717.3715190400003</v>
      </c>
      <c r="J28" s="265">
        <f t="shared" si="2"/>
        <v>760.4138101824003</v>
      </c>
      <c r="K28" s="265">
        <f t="shared" si="12"/>
        <v>806.0386387933444</v>
      </c>
      <c r="L28" s="265">
        <f t="shared" si="13"/>
        <v>806.0386387933444</v>
      </c>
      <c r="M28" s="265">
        <f t="shared" si="14"/>
        <v>806.0386387933444</v>
      </c>
      <c r="N28" s="110">
        <f t="shared" si="4"/>
        <v>0</v>
      </c>
      <c r="O28" s="265">
        <f t="shared" si="5"/>
        <v>806.0386387933444</v>
      </c>
      <c r="P28" s="265">
        <f t="shared" si="10"/>
        <v>854.400957120945</v>
      </c>
    </row>
    <row r="29" spans="6:16" ht="12.75">
      <c r="F29" s="4"/>
      <c r="G29" s="4"/>
      <c r="I29" s="45"/>
      <c r="J29" s="265"/>
      <c r="K29" s="265"/>
      <c r="L29" s="265"/>
      <c r="M29" s="265"/>
      <c r="N29" s="110"/>
      <c r="O29" s="265"/>
      <c r="P29" s="265"/>
    </row>
    <row r="30" spans="1:16" s="2" customFormat="1" ht="12.75">
      <c r="A30" s="2" t="s">
        <v>106</v>
      </c>
      <c r="B30" s="22"/>
      <c r="C30" s="35"/>
      <c r="D30" s="35"/>
      <c r="E30" s="27"/>
      <c r="F30" s="4"/>
      <c r="G30" s="4"/>
      <c r="H30" s="94"/>
      <c r="I30" s="45"/>
      <c r="J30" s="265"/>
      <c r="K30" s="265"/>
      <c r="L30" s="265"/>
      <c r="M30" s="265"/>
      <c r="N30" s="110"/>
      <c r="O30" s="265"/>
      <c r="P30" s="265"/>
    </row>
    <row r="31" spans="1:16" ht="12.75">
      <c r="A31" s="3" t="s">
        <v>107</v>
      </c>
      <c r="B31" s="21">
        <v>375</v>
      </c>
      <c r="C31" s="27">
        <f aca="true" t="shared" si="16" ref="C31:D33">B31*1.1</f>
        <v>412.50000000000006</v>
      </c>
      <c r="D31" s="27">
        <f t="shared" si="16"/>
        <v>453.7500000000001</v>
      </c>
      <c r="E31" s="27">
        <f>D31*1.1</f>
        <v>499.12500000000017</v>
      </c>
      <c r="F31" s="4">
        <f t="shared" si="1"/>
        <v>0.1000000000000001</v>
      </c>
      <c r="G31" s="27">
        <v>539.0550000000002</v>
      </c>
      <c r="H31" s="94">
        <v>576.7888500000003</v>
      </c>
      <c r="I31" s="112">
        <f>H31*1.06</f>
        <v>611.3961810000003</v>
      </c>
      <c r="J31" s="265">
        <f t="shared" si="2"/>
        <v>648.0799518600004</v>
      </c>
      <c r="K31" s="265">
        <f>(J31*$K$8)+J31</f>
        <v>686.9647489716004</v>
      </c>
      <c r="L31" s="265">
        <f>(K31*$N$8)+K31</f>
        <v>686.9647489716004</v>
      </c>
      <c r="M31" s="265">
        <f>(L31*N31)+L31</f>
        <v>686.9647489716004</v>
      </c>
      <c r="N31" s="110">
        <f t="shared" si="4"/>
        <v>0</v>
      </c>
      <c r="O31" s="265">
        <f t="shared" si="5"/>
        <v>686.9647489716004</v>
      </c>
      <c r="P31" s="265">
        <f t="shared" si="10"/>
        <v>728.1826339098965</v>
      </c>
    </row>
    <row r="32" spans="1:16" ht="12.75">
      <c r="A32" s="3" t="s">
        <v>108</v>
      </c>
      <c r="B32" s="21">
        <v>230</v>
      </c>
      <c r="C32" s="27">
        <f t="shared" si="16"/>
        <v>253.00000000000003</v>
      </c>
      <c r="D32" s="27">
        <f t="shared" si="16"/>
        <v>278.30000000000007</v>
      </c>
      <c r="E32" s="27">
        <f>D32*1.1</f>
        <v>306.1300000000001</v>
      </c>
      <c r="F32" s="4">
        <f t="shared" si="1"/>
        <v>0.10000000000000012</v>
      </c>
      <c r="G32" s="27">
        <v>330.62040000000013</v>
      </c>
      <c r="H32" s="94">
        <v>353.76382800000016</v>
      </c>
      <c r="I32" s="112">
        <f>H32*1.06</f>
        <v>374.98965768000016</v>
      </c>
      <c r="J32" s="265">
        <f t="shared" si="2"/>
        <v>397.4890371408002</v>
      </c>
      <c r="K32" s="265">
        <f>(J32*$K$8)+J32</f>
        <v>421.3383793692482</v>
      </c>
      <c r="L32" s="265">
        <f>(K32*$N$8)+K32</f>
        <v>421.3383793692482</v>
      </c>
      <c r="M32" s="265">
        <f>(L32*N32)+L32</f>
        <v>421.3383793692482</v>
      </c>
      <c r="N32" s="110">
        <f t="shared" si="4"/>
        <v>0</v>
      </c>
      <c r="O32" s="265">
        <f t="shared" si="5"/>
        <v>421.3383793692482</v>
      </c>
      <c r="P32" s="265">
        <f t="shared" si="10"/>
        <v>446.61868213140303</v>
      </c>
    </row>
    <row r="33" spans="1:16" ht="12.75">
      <c r="A33" s="3" t="s">
        <v>109</v>
      </c>
      <c r="B33" s="21">
        <v>375</v>
      </c>
      <c r="C33" s="27">
        <f t="shared" si="16"/>
        <v>412.50000000000006</v>
      </c>
      <c r="D33" s="27">
        <f t="shared" si="16"/>
        <v>453.7500000000001</v>
      </c>
      <c r="E33" s="27">
        <f>D33*1.1</f>
        <v>499.12500000000017</v>
      </c>
      <c r="F33" s="4">
        <f t="shared" si="1"/>
        <v>0.1000000000000001</v>
      </c>
      <c r="G33" s="27">
        <v>539.0550000000002</v>
      </c>
      <c r="H33" s="94">
        <v>576.7888500000003</v>
      </c>
      <c r="I33" s="112">
        <f>H33*1.06</f>
        <v>611.3961810000003</v>
      </c>
      <c r="J33" s="265">
        <f t="shared" si="2"/>
        <v>648.0799518600004</v>
      </c>
      <c r="K33" s="265">
        <f>(J33*$K$8)+J33</f>
        <v>686.9647489716004</v>
      </c>
      <c r="L33" s="265">
        <f>(K33*$N$8)+K33</f>
        <v>686.9647489716004</v>
      </c>
      <c r="M33" s="265">
        <f>(L33*N33)+L33</f>
        <v>686.9647489716004</v>
      </c>
      <c r="N33" s="110">
        <f t="shared" si="4"/>
        <v>0</v>
      </c>
      <c r="O33" s="265">
        <f t="shared" si="5"/>
        <v>686.9647489716004</v>
      </c>
      <c r="P33" s="265">
        <f t="shared" si="10"/>
        <v>728.1826339098965</v>
      </c>
    </row>
    <row r="34" spans="6:16" ht="12.75">
      <c r="F34" s="4"/>
      <c r="G34" s="4"/>
      <c r="I34" s="45"/>
      <c r="J34" s="265"/>
      <c r="K34" s="265"/>
      <c r="L34" s="265"/>
      <c r="M34" s="265"/>
      <c r="N34" s="110"/>
      <c r="O34" s="265"/>
      <c r="P34" s="265"/>
    </row>
    <row r="35" spans="1:16" s="2" customFormat="1" ht="12.75">
      <c r="A35" s="2" t="s">
        <v>375</v>
      </c>
      <c r="B35" s="22"/>
      <c r="C35" s="35"/>
      <c r="D35" s="35"/>
      <c r="E35" s="27"/>
      <c r="F35" s="4"/>
      <c r="G35" s="4"/>
      <c r="H35" s="94"/>
      <c r="I35" s="45"/>
      <c r="J35" s="265"/>
      <c r="K35" s="265"/>
      <c r="L35" s="265"/>
      <c r="M35" s="265"/>
      <c r="N35" s="110"/>
      <c r="O35" s="265"/>
      <c r="P35" s="265"/>
    </row>
    <row r="36" spans="1:16" ht="12.75">
      <c r="A36" s="3" t="s">
        <v>110</v>
      </c>
      <c r="B36" s="23">
        <v>790</v>
      </c>
      <c r="C36" s="27">
        <f aca="true" t="shared" si="17" ref="C36:D38">B36*1.1</f>
        <v>869.0000000000001</v>
      </c>
      <c r="D36" s="27">
        <f t="shared" si="17"/>
        <v>955.9000000000002</v>
      </c>
      <c r="E36" s="27">
        <f>D36*1.1</f>
        <v>1051.4900000000002</v>
      </c>
      <c r="F36" s="4">
        <f t="shared" si="1"/>
        <v>0.1</v>
      </c>
      <c r="G36" s="27">
        <v>1135.6092000000003</v>
      </c>
      <c r="H36" s="94">
        <v>1215.1018440000005</v>
      </c>
      <c r="I36" s="66">
        <f>H36*1.06</f>
        <v>1288.0079546400007</v>
      </c>
      <c r="J36" s="265">
        <f t="shared" si="2"/>
        <v>1365.2884319184009</v>
      </c>
      <c r="K36" s="265">
        <f>(J36*$K$8)+J36</f>
        <v>1447.2057378335048</v>
      </c>
      <c r="L36" s="265">
        <f>(K36*$N$8)+K36</f>
        <v>1447.2057378335048</v>
      </c>
      <c r="M36" s="265">
        <f>(L36*N36)+L36</f>
        <v>1447.2057378335048</v>
      </c>
      <c r="N36" s="110">
        <f t="shared" si="4"/>
        <v>0</v>
      </c>
      <c r="O36" s="265">
        <f t="shared" si="5"/>
        <v>1447.2057378335048</v>
      </c>
      <c r="P36" s="265">
        <f t="shared" si="10"/>
        <v>1534.038082103515</v>
      </c>
    </row>
    <row r="37" spans="1:16" ht="12.75">
      <c r="A37" s="3" t="s">
        <v>111</v>
      </c>
      <c r="B37" s="21">
        <v>1490</v>
      </c>
      <c r="C37" s="27">
        <f t="shared" si="17"/>
        <v>1639.0000000000002</v>
      </c>
      <c r="D37" s="27">
        <f t="shared" si="17"/>
        <v>1802.9000000000003</v>
      </c>
      <c r="E37" s="27">
        <f>D37*1.1</f>
        <v>1983.1900000000005</v>
      </c>
      <c r="F37" s="4">
        <f t="shared" si="1"/>
        <v>0.10000000000000009</v>
      </c>
      <c r="G37" s="27">
        <v>500</v>
      </c>
      <c r="H37" s="94">
        <v>535</v>
      </c>
      <c r="I37" s="66">
        <f>H37*1.06</f>
        <v>567.1</v>
      </c>
      <c r="J37" s="265">
        <f t="shared" si="2"/>
        <v>601.1260000000001</v>
      </c>
      <c r="K37" s="265">
        <f>(J37*$K$8)+J37</f>
        <v>637.19356</v>
      </c>
      <c r="L37" s="265">
        <f>(K37*$N$8)+K37</f>
        <v>637.19356</v>
      </c>
      <c r="M37" s="265">
        <f>(L37*N37)+L37</f>
        <v>637.19356</v>
      </c>
      <c r="N37" s="110">
        <f t="shared" si="4"/>
        <v>0</v>
      </c>
      <c r="O37" s="265">
        <f t="shared" si="5"/>
        <v>637.19356</v>
      </c>
      <c r="P37" s="265">
        <f t="shared" si="10"/>
        <v>675.4251736000001</v>
      </c>
    </row>
    <row r="38" spans="1:16" ht="12.75">
      <c r="A38" s="3" t="s">
        <v>112</v>
      </c>
      <c r="B38" s="21">
        <v>2100</v>
      </c>
      <c r="C38" s="27">
        <f t="shared" si="17"/>
        <v>2310</v>
      </c>
      <c r="D38" s="27">
        <f t="shared" si="17"/>
        <v>2541</v>
      </c>
      <c r="E38" s="27">
        <f>D38*1.1</f>
        <v>2795.1000000000004</v>
      </c>
      <c r="F38" s="4">
        <f t="shared" si="1"/>
        <v>0.10000000000000014</v>
      </c>
      <c r="G38" s="27">
        <v>3018.7080000000005</v>
      </c>
      <c r="H38" s="94">
        <v>3230.0175600000007</v>
      </c>
      <c r="I38" s="66">
        <f>H38*1.06</f>
        <v>3423.818613600001</v>
      </c>
      <c r="J38" s="265">
        <f t="shared" si="2"/>
        <v>3629.247730416001</v>
      </c>
      <c r="K38" s="265">
        <f>(J38*$K$8)+J38</f>
        <v>3847.002594240961</v>
      </c>
      <c r="L38" s="265">
        <f>(K38*$N$8)+K38</f>
        <v>3847.002594240961</v>
      </c>
      <c r="M38" s="265">
        <f>(L38*N38)+L38</f>
        <v>3847.002594240961</v>
      </c>
      <c r="N38" s="110">
        <f t="shared" si="4"/>
        <v>0</v>
      </c>
      <c r="O38" s="265">
        <f t="shared" si="5"/>
        <v>3847.002594240961</v>
      </c>
      <c r="P38" s="265">
        <f t="shared" si="10"/>
        <v>4077.822749895419</v>
      </c>
    </row>
    <row r="39" spans="1:16" ht="13.5" hidden="1">
      <c r="A39" s="3" t="s">
        <v>114</v>
      </c>
      <c r="B39" s="20" t="s">
        <v>115</v>
      </c>
      <c r="C39" s="27" t="s">
        <v>115</v>
      </c>
      <c r="D39" s="27" t="s">
        <v>115</v>
      </c>
      <c r="E39" s="27" t="s">
        <v>115</v>
      </c>
      <c r="F39" s="4">
        <v>0</v>
      </c>
      <c r="G39" s="4" t="s">
        <v>115</v>
      </c>
      <c r="J39" s="265"/>
      <c r="K39" s="265"/>
      <c r="L39" s="265"/>
      <c r="M39" s="265"/>
      <c r="N39" s="110" t="e">
        <f t="shared" si="4"/>
        <v>#DIV/0!</v>
      </c>
      <c r="O39" s="265">
        <f t="shared" si="5"/>
        <v>0</v>
      </c>
      <c r="P39" s="265">
        <f t="shared" si="10"/>
        <v>0</v>
      </c>
    </row>
    <row r="40" spans="1:16" s="428" customFormat="1" ht="40.5">
      <c r="A40" s="428" t="s">
        <v>1271</v>
      </c>
      <c r="B40" s="442" t="s">
        <v>376</v>
      </c>
      <c r="C40" s="443" t="s">
        <v>377</v>
      </c>
      <c r="D40" s="443" t="s">
        <v>376</v>
      </c>
      <c r="E40" s="443" t="s">
        <v>376</v>
      </c>
      <c r="F40" s="433">
        <v>0</v>
      </c>
      <c r="G40" s="433" t="s">
        <v>376</v>
      </c>
      <c r="H40" s="444"/>
      <c r="I40" s="444"/>
      <c r="J40" s="431"/>
      <c r="K40" s="431" t="s">
        <v>1160</v>
      </c>
      <c r="L40" s="431">
        <f>15000*1.06</f>
        <v>15900</v>
      </c>
      <c r="M40" s="431">
        <f>(L40*N40)+L40</f>
        <v>16854</v>
      </c>
      <c r="N40" s="110">
        <v>0.06</v>
      </c>
      <c r="O40" s="431">
        <f t="shared" si="5"/>
        <v>16854</v>
      </c>
      <c r="P40" s="431">
        <f t="shared" si="10"/>
        <v>17865.24</v>
      </c>
    </row>
    <row r="41" spans="6:16" ht="13.5">
      <c r="F41" s="4"/>
      <c r="G41" s="4"/>
      <c r="J41" s="265"/>
      <c r="K41" s="265"/>
      <c r="L41" s="265"/>
      <c r="M41" s="265"/>
      <c r="N41" s="110"/>
      <c r="O41" s="265"/>
      <c r="P41" s="265"/>
    </row>
    <row r="42" spans="1:16" s="2" customFormat="1" ht="13.5">
      <c r="A42" s="2" t="s">
        <v>113</v>
      </c>
      <c r="B42" s="22"/>
      <c r="C42" s="35"/>
      <c r="D42" s="35"/>
      <c r="E42" s="27"/>
      <c r="F42" s="4"/>
      <c r="G42" s="4"/>
      <c r="H42" s="94"/>
      <c r="I42" s="94"/>
      <c r="J42" s="265"/>
      <c r="K42" s="265"/>
      <c r="L42" s="265"/>
      <c r="M42" s="265"/>
      <c r="N42" s="110"/>
      <c r="O42" s="265"/>
      <c r="P42" s="265"/>
    </row>
    <row r="43" spans="1:16" ht="13.5">
      <c r="A43" s="3" t="s">
        <v>487</v>
      </c>
      <c r="B43" s="23">
        <v>260</v>
      </c>
      <c r="C43" s="27">
        <f aca="true" t="shared" si="18" ref="C43:D45">B43*1.1</f>
        <v>286</v>
      </c>
      <c r="D43" s="27">
        <f t="shared" si="18"/>
        <v>314.6</v>
      </c>
      <c r="E43" s="27">
        <f>D43*1.1</f>
        <v>346.06000000000006</v>
      </c>
      <c r="F43" s="4">
        <f>(E43-D43)/D43</f>
        <v>0.1000000000000001</v>
      </c>
      <c r="G43" s="27">
        <v>373.7448000000001</v>
      </c>
      <c r="H43" s="94">
        <v>399.90693600000014</v>
      </c>
      <c r="I43" s="112">
        <f>H43*1.06</f>
        <v>423.90135216000016</v>
      </c>
      <c r="J43" s="265">
        <f t="shared" si="2"/>
        <v>449.3354332896002</v>
      </c>
      <c r="K43" s="265">
        <f>(J43*$K$8)+J43</f>
        <v>476.2955592869762</v>
      </c>
      <c r="L43" s="265">
        <f>(K43*$N$8)+K43</f>
        <v>476.2955592869762</v>
      </c>
      <c r="M43" s="265">
        <f>(L43*N43)+L43</f>
        <v>476.2955592869762</v>
      </c>
      <c r="N43" s="110">
        <v>0</v>
      </c>
      <c r="O43" s="265">
        <f t="shared" si="5"/>
        <v>476.2955592869762</v>
      </c>
      <c r="P43" s="265">
        <f t="shared" si="10"/>
        <v>504.87329284419474</v>
      </c>
    </row>
    <row r="44" spans="1:16" ht="13.5">
      <c r="A44" s="3" t="s">
        <v>488</v>
      </c>
      <c r="B44" s="23">
        <v>390</v>
      </c>
      <c r="C44" s="27">
        <f t="shared" si="18"/>
        <v>429.00000000000006</v>
      </c>
      <c r="D44" s="27">
        <f t="shared" si="18"/>
        <v>471.9000000000001</v>
      </c>
      <c r="E44" s="27">
        <f>D44*1.1</f>
        <v>519.0900000000001</v>
      </c>
      <c r="F44" s="4">
        <f>(E44-D44)/D44</f>
        <v>0.1000000000000001</v>
      </c>
      <c r="G44" s="27">
        <v>560.6172000000001</v>
      </c>
      <c r="H44" s="94">
        <v>599.8604040000001</v>
      </c>
      <c r="I44" s="112">
        <f>H44*1.06</f>
        <v>635.8520282400002</v>
      </c>
      <c r="J44" s="265">
        <f t="shared" si="2"/>
        <v>674.0031499344002</v>
      </c>
      <c r="K44" s="265">
        <f>(J44*$K$8)+J44</f>
        <v>714.4433389304642</v>
      </c>
      <c r="L44" s="265">
        <f>(K44*$N$8)+K44</f>
        <v>714.4433389304642</v>
      </c>
      <c r="M44" s="265">
        <f>(L44*N44)+L44</f>
        <v>714.4433389304642</v>
      </c>
      <c r="N44" s="110">
        <v>0</v>
      </c>
      <c r="O44" s="265">
        <f t="shared" si="5"/>
        <v>714.4433389304642</v>
      </c>
      <c r="P44" s="265">
        <f t="shared" si="10"/>
        <v>757.309939266292</v>
      </c>
    </row>
    <row r="45" spans="1:16" ht="13.5">
      <c r="A45" s="3" t="s">
        <v>489</v>
      </c>
      <c r="B45" s="23">
        <v>510</v>
      </c>
      <c r="C45" s="27">
        <f t="shared" si="18"/>
        <v>561</v>
      </c>
      <c r="D45" s="27">
        <f t="shared" si="18"/>
        <v>617.1</v>
      </c>
      <c r="E45" s="27">
        <f>D45*1.1</f>
        <v>678.8100000000001</v>
      </c>
      <c r="F45" s="4">
        <f>(E45-D45)/D45</f>
        <v>0.10000000000000006</v>
      </c>
      <c r="G45" s="27">
        <v>733.1148000000001</v>
      </c>
      <c r="H45" s="94">
        <v>784.4328360000001</v>
      </c>
      <c r="I45" s="112">
        <f>H45*1.06</f>
        <v>831.4988061600001</v>
      </c>
      <c r="J45" s="265">
        <f t="shared" si="2"/>
        <v>881.3887345296001</v>
      </c>
      <c r="K45" s="265">
        <f>(J45*$K$8)+J45</f>
        <v>934.2720586013761</v>
      </c>
      <c r="L45" s="265">
        <f>(K45*$N$8)+K45</f>
        <v>934.2720586013761</v>
      </c>
      <c r="M45" s="265">
        <f>(L45*N45)+L45</f>
        <v>934.2720586013761</v>
      </c>
      <c r="N45" s="110">
        <f>(L45-K45)/K45</f>
        <v>0</v>
      </c>
      <c r="O45" s="265">
        <f t="shared" si="5"/>
        <v>934.2720586013761</v>
      </c>
      <c r="P45" s="265">
        <f t="shared" si="10"/>
        <v>990.3283821174587</v>
      </c>
    </row>
    <row r="46" spans="1:16" ht="13.5">
      <c r="A46" s="3" t="s">
        <v>490</v>
      </c>
      <c r="B46" s="23"/>
      <c r="F46" s="4"/>
      <c r="G46" s="4"/>
      <c r="I46" s="45"/>
      <c r="J46" s="265"/>
      <c r="K46" s="265"/>
      <c r="L46" s="265"/>
      <c r="M46" s="265"/>
      <c r="N46" s="110"/>
      <c r="O46" s="265"/>
      <c r="P46" s="265"/>
    </row>
    <row r="47" spans="1:16" ht="13.5">
      <c r="A47" s="3" t="s">
        <v>491</v>
      </c>
      <c r="B47" s="23">
        <v>230</v>
      </c>
      <c r="C47" s="27">
        <f aca="true" t="shared" si="19" ref="C47:E48">B47*1.1</f>
        <v>253.00000000000003</v>
      </c>
      <c r="D47" s="27">
        <f t="shared" si="19"/>
        <v>278.30000000000007</v>
      </c>
      <c r="E47" s="27">
        <f t="shared" si="19"/>
        <v>306.1300000000001</v>
      </c>
      <c r="F47" s="4">
        <f>(E47-D47)/D47</f>
        <v>0.10000000000000012</v>
      </c>
      <c r="G47" s="27">
        <v>330.62040000000013</v>
      </c>
      <c r="H47" s="94">
        <v>353.76382800000016</v>
      </c>
      <c r="I47" s="112">
        <f>H47*1.06</f>
        <v>374.98965768000016</v>
      </c>
      <c r="J47" s="265">
        <f t="shared" si="2"/>
        <v>397.4890371408002</v>
      </c>
      <c r="K47" s="265">
        <f>(J47*$K$8)+J47</f>
        <v>421.3383793692482</v>
      </c>
      <c r="L47" s="265">
        <f>(K47*$N$8)+K47</f>
        <v>421.3383793692482</v>
      </c>
      <c r="M47" s="265">
        <f>(L47*N47)+L47</f>
        <v>421.3383793692482</v>
      </c>
      <c r="N47" s="110">
        <f>(L47-K47)/K47</f>
        <v>0</v>
      </c>
      <c r="O47" s="265">
        <f t="shared" si="5"/>
        <v>421.3383793692482</v>
      </c>
      <c r="P47" s="265">
        <f t="shared" si="10"/>
        <v>446.61868213140303</v>
      </c>
    </row>
    <row r="48" spans="1:16" ht="13.5">
      <c r="A48" s="3" t="s">
        <v>492</v>
      </c>
      <c r="B48" s="23">
        <v>370</v>
      </c>
      <c r="C48" s="27">
        <f t="shared" si="19"/>
        <v>407.00000000000006</v>
      </c>
      <c r="D48" s="27">
        <f t="shared" si="19"/>
        <v>447.7000000000001</v>
      </c>
      <c r="E48" s="27">
        <f t="shared" si="19"/>
        <v>492.47000000000014</v>
      </c>
      <c r="F48" s="4">
        <f>(E48-D48)/D48</f>
        <v>0.10000000000000006</v>
      </c>
      <c r="G48" s="27">
        <v>531.8676000000002</v>
      </c>
      <c r="H48" s="94">
        <v>569.0983320000001</v>
      </c>
      <c r="I48" s="112">
        <f>H48*1.06</f>
        <v>603.2442319200002</v>
      </c>
      <c r="J48" s="265">
        <f t="shared" si="2"/>
        <v>639.4388858352003</v>
      </c>
      <c r="K48" s="265">
        <f>(J48*$K$8)+J48</f>
        <v>677.8052189853123</v>
      </c>
      <c r="L48" s="265">
        <f>(K48*$N$8)+K48</f>
        <v>677.8052189853123</v>
      </c>
      <c r="M48" s="265">
        <f>(L48*N48)+L48</f>
        <v>677.8052189853123</v>
      </c>
      <c r="N48" s="110">
        <f>(L48-K48)/K48</f>
        <v>0</v>
      </c>
      <c r="O48" s="265">
        <f t="shared" si="5"/>
        <v>677.8052189853123</v>
      </c>
      <c r="P48" s="265">
        <f t="shared" si="10"/>
        <v>718.473532124431</v>
      </c>
    </row>
    <row r="50" ht="90" customHeight="1">
      <c r="A50" s="538" t="s">
        <v>1222</v>
      </c>
    </row>
    <row r="51" ht="42" customHeight="1">
      <c r="A51" s="538" t="s">
        <v>1223</v>
      </c>
    </row>
    <row r="52" ht="42.75" customHeight="1">
      <c r="A52" s="538" t="s">
        <v>1224</v>
      </c>
    </row>
    <row r="53" ht="13.5" customHeight="1">
      <c r="A53" s="534"/>
    </row>
    <row r="54" ht="13.5" customHeight="1">
      <c r="A54" s="534"/>
    </row>
    <row r="55" ht="40.5">
      <c r="A55" s="703" t="s">
        <v>1170</v>
      </c>
    </row>
    <row r="56" ht="13.5">
      <c r="A56" s="5"/>
    </row>
  </sheetData>
  <sheetProtection/>
  <mergeCells count="1">
    <mergeCell ref="L1:N1"/>
  </mergeCells>
  <printOptions gridLines="1"/>
  <pageMargins left="0.7086614173228347" right="0.7086614173228347" top="0.7480314960629921" bottom="0.7480314960629921" header="0.31496062992125984" footer="0.31496062992125984"/>
  <pageSetup horizontalDpi="600" verticalDpi="600" orientation="landscape" scale="47" r:id="rId3"/>
  <legacyDrawing r:id="rId2"/>
</worksheet>
</file>

<file path=xl/worksheets/sheet9.xml><?xml version="1.0" encoding="utf-8"?>
<worksheet xmlns="http://schemas.openxmlformats.org/spreadsheetml/2006/main" xmlns:r="http://schemas.openxmlformats.org/officeDocument/2006/relationships">
  <dimension ref="A1:H204"/>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3" sqref="A23"/>
    </sheetView>
  </sheetViews>
  <sheetFormatPr defaultColWidth="9.140625" defaultRowHeight="12.75"/>
  <cols>
    <col min="1" max="1" width="75.8515625" style="497" customWidth="1"/>
    <col min="2" max="2" width="48.00390625" style="497" customWidth="1"/>
    <col min="3" max="3" width="15.57421875" style="498" hidden="1" customWidth="1"/>
    <col min="4" max="4" width="15.57421875" style="499" hidden="1" customWidth="1"/>
    <col min="5" max="5" width="20.140625" style="503" customWidth="1"/>
    <col min="6" max="6" width="15.57421875" style="739" customWidth="1"/>
    <col min="7" max="7" width="15.57421875" style="504" hidden="1" customWidth="1"/>
    <col min="8" max="8" width="12.421875" style="500" customWidth="1"/>
    <col min="9" max="9" width="16.00390625" style="452" customWidth="1"/>
    <col min="10" max="16384" width="9.140625" style="452" customWidth="1"/>
  </cols>
  <sheetData>
    <row r="1" spans="1:8" s="446" customFormat="1" ht="32.25" customHeight="1">
      <c r="A1" s="709"/>
      <c r="B1" s="646"/>
      <c r="C1" s="646"/>
      <c r="D1" s="978" t="s">
        <v>1161</v>
      </c>
      <c r="E1" s="979"/>
      <c r="F1" s="732"/>
      <c r="G1" s="646"/>
      <c r="H1" s="646"/>
    </row>
    <row r="2" spans="1:8" s="459" customFormat="1" ht="25.5" customHeight="1">
      <c r="A2" s="908" t="s">
        <v>20</v>
      </c>
      <c r="B2" s="453"/>
      <c r="C2" s="460"/>
      <c r="D2" s="980"/>
      <c r="E2" s="981"/>
      <c r="F2" s="733"/>
      <c r="G2" s="451"/>
      <c r="H2" s="450"/>
    </row>
    <row r="3" spans="1:8" s="446" customFormat="1" ht="36" customHeight="1">
      <c r="A3" s="712" t="s">
        <v>1517</v>
      </c>
      <c r="B3" s="982" t="s">
        <v>1453</v>
      </c>
      <c r="C3" s="983"/>
      <c r="D3" s="983"/>
      <c r="E3" s="983"/>
      <c r="F3" s="983"/>
      <c r="G3" s="983"/>
      <c r="H3" s="984"/>
    </row>
    <row r="4" spans="1:8" s="459" customFormat="1" ht="13.5">
      <c r="A4" s="454"/>
      <c r="B4" s="909"/>
      <c r="C4" s="455" t="s">
        <v>965</v>
      </c>
      <c r="D4" s="456" t="s">
        <v>1033</v>
      </c>
      <c r="E4" s="458" t="s">
        <v>1108</v>
      </c>
      <c r="F4" s="734" t="s">
        <v>1272</v>
      </c>
      <c r="G4" s="734" t="s">
        <v>1272</v>
      </c>
      <c r="H4" s="457" t="s">
        <v>22</v>
      </c>
    </row>
    <row r="5" spans="1:8" s="459" customFormat="1" ht="13.5">
      <c r="A5" s="453"/>
      <c r="B5" s="453"/>
      <c r="C5" s="460"/>
      <c r="D5" s="461"/>
      <c r="E5" s="451" t="s">
        <v>1109</v>
      </c>
      <c r="F5" s="735" t="s">
        <v>1109</v>
      </c>
      <c r="G5" s="451" t="s">
        <v>1110</v>
      </c>
      <c r="H5" s="462">
        <v>0.06</v>
      </c>
    </row>
    <row r="6" spans="1:8" s="459" customFormat="1" ht="13.5">
      <c r="A6" s="454" t="s">
        <v>1111</v>
      </c>
      <c r="B6" s="454"/>
      <c r="C6" s="463"/>
      <c r="D6" s="464"/>
      <c r="E6" s="458"/>
      <c r="F6" s="734"/>
      <c r="G6" s="458"/>
      <c r="H6" s="465"/>
    </row>
    <row r="7" spans="1:8" s="459" customFormat="1" ht="12.75" customHeight="1">
      <c r="A7" s="910" t="s">
        <v>1112</v>
      </c>
      <c r="B7" s="910" t="s">
        <v>1113</v>
      </c>
      <c r="C7" s="463"/>
      <c r="D7" s="464"/>
      <c r="E7" s="458"/>
      <c r="F7" s="734"/>
      <c r="G7" s="458"/>
      <c r="H7" s="465"/>
    </row>
    <row r="8" spans="1:8" ht="13.5">
      <c r="A8" s="494" t="s">
        <v>118</v>
      </c>
      <c r="B8" s="494" t="s">
        <v>1114</v>
      </c>
      <c r="C8" s="466"/>
      <c r="D8" s="467"/>
      <c r="E8" s="884">
        <v>20</v>
      </c>
      <c r="F8" s="883">
        <f>E8+(E8*$H$5)</f>
        <v>21.2</v>
      </c>
      <c r="G8" s="884"/>
      <c r="H8" s="468">
        <f>$H$5</f>
        <v>0.06</v>
      </c>
    </row>
    <row r="9" spans="1:8" ht="13.5">
      <c r="A9" s="494" t="s">
        <v>1115</v>
      </c>
      <c r="B9" s="494" t="s">
        <v>1116</v>
      </c>
      <c r="C9" s="466"/>
      <c r="D9" s="467"/>
      <c r="E9" s="884">
        <v>15</v>
      </c>
      <c r="F9" s="883">
        <f>E9+(E9*$H$5)</f>
        <v>15.9</v>
      </c>
      <c r="G9" s="884"/>
      <c r="H9" s="468">
        <f>$H$5</f>
        <v>0.06</v>
      </c>
    </row>
    <row r="10" spans="1:8" ht="12.75" customHeight="1">
      <c r="A10" s="494" t="s">
        <v>1117</v>
      </c>
      <c r="B10" s="494" t="s">
        <v>1118</v>
      </c>
      <c r="C10" s="466"/>
      <c r="D10" s="467"/>
      <c r="E10" s="884">
        <v>0</v>
      </c>
      <c r="F10" s="883">
        <f>E10+(E10*$H$5)</f>
        <v>0</v>
      </c>
      <c r="G10" s="884"/>
      <c r="H10" s="468">
        <f>$H$5</f>
        <v>0.06</v>
      </c>
    </row>
    <row r="11" spans="1:8" ht="13.5">
      <c r="A11" s="494"/>
      <c r="B11" s="494"/>
      <c r="C11" s="466"/>
      <c r="D11" s="467"/>
      <c r="E11" s="469"/>
      <c r="F11" s="735"/>
      <c r="G11" s="469"/>
      <c r="H11" s="468"/>
    </row>
    <row r="12" spans="1:8" ht="13.5">
      <c r="A12" s="910" t="s">
        <v>1119</v>
      </c>
      <c r="B12" s="910" t="s">
        <v>1113</v>
      </c>
      <c r="C12" s="470"/>
      <c r="D12" s="471"/>
      <c r="E12" s="472"/>
      <c r="F12" s="734"/>
      <c r="G12" s="472"/>
      <c r="H12" s="465"/>
    </row>
    <row r="13" spans="1:8" ht="12.75" customHeight="1">
      <c r="A13" s="494" t="s">
        <v>1120</v>
      </c>
      <c r="B13" s="494" t="s">
        <v>1262</v>
      </c>
      <c r="C13" s="473"/>
      <c r="D13" s="467"/>
      <c r="E13" s="884">
        <v>15</v>
      </c>
      <c r="F13" s="883">
        <f>E13+(E13*$H$5)</f>
        <v>15.9</v>
      </c>
      <c r="G13" s="884"/>
      <c r="H13" s="468">
        <f>$H$5</f>
        <v>0.06</v>
      </c>
    </row>
    <row r="14" spans="1:8" ht="12.75" customHeight="1">
      <c r="A14" s="494" t="s">
        <v>1121</v>
      </c>
      <c r="B14" s="494" t="s">
        <v>1263</v>
      </c>
      <c r="C14" s="473"/>
      <c r="D14" s="467"/>
      <c r="E14" s="884">
        <v>10</v>
      </c>
      <c r="F14" s="883">
        <f>E14+(E14*$H$5)</f>
        <v>10.6</v>
      </c>
      <c r="G14" s="884"/>
      <c r="H14" s="468">
        <f>$H$5</f>
        <v>0.06</v>
      </c>
    </row>
    <row r="15" spans="1:8" ht="12.75" customHeight="1">
      <c r="A15" s="494" t="s">
        <v>1122</v>
      </c>
      <c r="B15" s="494" t="s">
        <v>1123</v>
      </c>
      <c r="C15" s="473"/>
      <c r="D15" s="467"/>
      <c r="E15" s="884">
        <v>150</v>
      </c>
      <c r="F15" s="883">
        <f>E15+(E15*$H$5)</f>
        <v>159</v>
      </c>
      <c r="G15" s="884"/>
      <c r="H15" s="468">
        <f>$H$5</f>
        <v>0.06</v>
      </c>
    </row>
    <row r="16" spans="1:8" ht="12.75" customHeight="1">
      <c r="A16" s="494" t="s">
        <v>1122</v>
      </c>
      <c r="B16" s="494" t="s">
        <v>1124</v>
      </c>
      <c r="C16" s="473"/>
      <c r="D16" s="467"/>
      <c r="E16" s="884">
        <v>200</v>
      </c>
      <c r="F16" s="883">
        <f>E16+(E16*$H$5)</f>
        <v>212</v>
      </c>
      <c r="G16" s="884"/>
      <c r="H16" s="468">
        <f>$H$5</f>
        <v>0.06</v>
      </c>
    </row>
    <row r="17" spans="1:8" ht="13.5">
      <c r="A17" s="494"/>
      <c r="B17" s="494"/>
      <c r="C17" s="473"/>
      <c r="D17" s="448"/>
      <c r="E17" s="451"/>
      <c r="F17" s="735"/>
      <c r="G17" s="451"/>
      <c r="H17" s="468"/>
    </row>
    <row r="18" spans="1:8" s="459" customFormat="1" ht="13.5">
      <c r="A18" s="910" t="s">
        <v>1125</v>
      </c>
      <c r="B18" s="910" t="s">
        <v>1113</v>
      </c>
      <c r="C18" s="470"/>
      <c r="D18" s="464"/>
      <c r="E18" s="458"/>
      <c r="F18" s="734"/>
      <c r="G18" s="458"/>
      <c r="H18" s="465"/>
    </row>
    <row r="19" spans="1:8" ht="51" customHeight="1">
      <c r="A19" s="960" t="s">
        <v>1126</v>
      </c>
      <c r="B19" s="961"/>
      <c r="C19" s="473"/>
      <c r="D19" s="448"/>
      <c r="E19" s="882"/>
      <c r="F19" s="883"/>
      <c r="G19" s="882"/>
      <c r="H19" s="468"/>
    </row>
    <row r="20" spans="1:8" ht="13.5">
      <c r="A20" s="494" t="s">
        <v>1127</v>
      </c>
      <c r="B20" s="494" t="s">
        <v>1128</v>
      </c>
      <c r="C20" s="473"/>
      <c r="D20" s="448"/>
      <c r="E20" s="881">
        <v>450</v>
      </c>
      <c r="F20" s="911">
        <f>E20+(E20*$H$5)</f>
        <v>477</v>
      </c>
      <c r="G20" s="881">
        <f>SUM(F20*1.15)</f>
        <v>548.55</v>
      </c>
      <c r="H20" s="468">
        <f>$H$5</f>
        <v>0.06</v>
      </c>
    </row>
    <row r="21" spans="1:8" ht="13.5">
      <c r="A21" s="494" t="s">
        <v>1129</v>
      </c>
      <c r="B21" s="494" t="s">
        <v>1130</v>
      </c>
      <c r="C21" s="473"/>
      <c r="D21" s="448"/>
      <c r="E21" s="881">
        <v>300</v>
      </c>
      <c r="F21" s="911">
        <f>E21+(E21*$H$5)</f>
        <v>318</v>
      </c>
      <c r="G21" s="881">
        <f>SUM(F21*1.15)</f>
        <v>365.7</v>
      </c>
      <c r="H21" s="468">
        <f>$H$5</f>
        <v>0.06</v>
      </c>
    </row>
    <row r="22" spans="1:8" ht="13.5">
      <c r="A22" s="494" t="s">
        <v>1131</v>
      </c>
      <c r="B22" s="494" t="s">
        <v>1132</v>
      </c>
      <c r="C22" s="473"/>
      <c r="D22" s="448"/>
      <c r="E22" s="881">
        <v>260</v>
      </c>
      <c r="F22" s="911">
        <f>E22+(E22*$H$5)</f>
        <v>275.6</v>
      </c>
      <c r="G22" s="881">
        <f>SUM(F22*1.15)</f>
        <v>316.94</v>
      </c>
      <c r="H22" s="468">
        <f>$H$5</f>
        <v>0.06</v>
      </c>
    </row>
    <row r="23" spans="1:8" ht="27">
      <c r="A23" s="494" t="s">
        <v>1133</v>
      </c>
      <c r="B23" s="494" t="s">
        <v>1134</v>
      </c>
      <c r="C23" s="473"/>
      <c r="D23" s="448"/>
      <c r="E23" s="881">
        <v>0</v>
      </c>
      <c r="F23" s="911">
        <f>E23+(E23*$H$5)</f>
        <v>0</v>
      </c>
      <c r="G23" s="881">
        <f>SUM(F23*1.15)</f>
        <v>0</v>
      </c>
      <c r="H23" s="468">
        <v>0</v>
      </c>
    </row>
    <row r="24" spans="1:8" s="459" customFormat="1" ht="13.5">
      <c r="A24" s="453"/>
      <c r="B24" s="453"/>
      <c r="C24" s="474"/>
      <c r="D24" s="461"/>
      <c r="E24" s="451"/>
      <c r="F24" s="735"/>
      <c r="G24" s="451"/>
      <c r="H24" s="462"/>
    </row>
    <row r="25" spans="1:8" s="459" customFormat="1" ht="13.5">
      <c r="A25" s="454" t="s">
        <v>1135</v>
      </c>
      <c r="B25" s="909" t="s">
        <v>366</v>
      </c>
      <c r="C25" s="463"/>
      <c r="D25" s="464"/>
      <c r="E25" s="458"/>
      <c r="F25" s="734"/>
      <c r="G25" s="458"/>
      <c r="H25" s="457"/>
    </row>
    <row r="26" spans="1:8" ht="13.5">
      <c r="A26" s="447" t="s">
        <v>1454</v>
      </c>
      <c r="B26" s="912"/>
      <c r="C26" s="475">
        <v>691</v>
      </c>
      <c r="D26" s="475">
        <v>733</v>
      </c>
      <c r="E26" s="478">
        <v>776.98</v>
      </c>
      <c r="F26" s="883">
        <f>E26+(E26*$H$5)</f>
        <v>823.5988</v>
      </c>
      <c r="G26" s="477">
        <f>SUM(F26*1.15)</f>
        <v>947.13862</v>
      </c>
      <c r="H26" s="476">
        <f>$H$5</f>
        <v>0.06</v>
      </c>
    </row>
    <row r="27" spans="1:8" ht="13.5">
      <c r="A27" s="447" t="s">
        <v>85</v>
      </c>
      <c r="B27" s="912"/>
      <c r="C27" s="475">
        <v>951</v>
      </c>
      <c r="D27" s="475">
        <v>1008</v>
      </c>
      <c r="E27" s="478">
        <v>1068.48</v>
      </c>
      <c r="F27" s="883">
        <f>E27+(E27*$H$5)</f>
        <v>1132.5888</v>
      </c>
      <c r="G27" s="477">
        <f>SUM(F27*1.15)</f>
        <v>1302.4771199999998</v>
      </c>
      <c r="H27" s="476">
        <f>$H$5</f>
        <v>0.06</v>
      </c>
    </row>
    <row r="28" spans="1:8" ht="13.5">
      <c r="A28" s="447" t="s">
        <v>1136</v>
      </c>
      <c r="B28" s="912"/>
      <c r="C28" s="475">
        <v>2592</v>
      </c>
      <c r="D28" s="475">
        <v>2748</v>
      </c>
      <c r="E28" s="478">
        <v>2912.88</v>
      </c>
      <c r="F28" s="883">
        <f>E28+(E28*$H$5)</f>
        <v>3087.6528000000003</v>
      </c>
      <c r="G28" s="477">
        <f>SUM(F28*1.15)</f>
        <v>3550.80072</v>
      </c>
      <c r="H28" s="476">
        <f>$H$5</f>
        <v>0.06</v>
      </c>
    </row>
    <row r="29" spans="1:8" s="459" customFormat="1" ht="27">
      <c r="A29" s="447" t="s">
        <v>1137</v>
      </c>
      <c r="B29" s="447" t="s">
        <v>87</v>
      </c>
      <c r="C29" s="478">
        <v>36</v>
      </c>
      <c r="D29" s="479">
        <v>38.16</v>
      </c>
      <c r="E29" s="478">
        <v>40.4496</v>
      </c>
      <c r="F29" s="883">
        <f>E29+(E29*$H$5)</f>
        <v>42.876576</v>
      </c>
      <c r="G29" s="477">
        <f>SUM(F29*1.15)</f>
        <v>49.3080624</v>
      </c>
      <c r="H29" s="476">
        <f>$H$5</f>
        <v>0.06</v>
      </c>
    </row>
    <row r="30" spans="1:8" s="906" customFormat="1" ht="27">
      <c r="A30" s="486" t="s">
        <v>1421</v>
      </c>
      <c r="B30" s="486" t="s">
        <v>1455</v>
      </c>
      <c r="C30" s="889"/>
      <c r="D30" s="890"/>
      <c r="E30" s="889">
        <v>40.4496</v>
      </c>
      <c r="F30" s="886">
        <f>E30+(E30*$H$5)</f>
        <v>42.876576</v>
      </c>
      <c r="G30" s="913">
        <f>SUM(F30*1.15)</f>
        <v>49.3080624</v>
      </c>
      <c r="H30" s="488">
        <f>$H$5</f>
        <v>0.06</v>
      </c>
    </row>
    <row r="31" spans="1:8" s="459" customFormat="1" ht="41.25" customHeight="1">
      <c r="A31" s="985" t="s">
        <v>1422</v>
      </c>
      <c r="B31" s="986"/>
      <c r="C31" s="986"/>
      <c r="D31" s="987"/>
      <c r="E31" s="891"/>
      <c r="F31" s="891"/>
      <c r="G31" s="892"/>
      <c r="H31" s="893"/>
    </row>
    <row r="32" spans="1:8" s="459" customFormat="1" ht="21.75" customHeight="1">
      <c r="A32" s="894" t="s">
        <v>1423</v>
      </c>
      <c r="B32" s="480"/>
      <c r="C32" s="480"/>
      <c r="D32" s="895"/>
      <c r="E32" s="481"/>
      <c r="F32" s="481"/>
      <c r="G32" s="477"/>
      <c r="H32" s="476"/>
    </row>
    <row r="33" spans="1:8" s="490" customFormat="1" ht="24.75" customHeight="1">
      <c r="A33" s="914" t="s">
        <v>1424</v>
      </c>
      <c r="B33" s="896" t="s">
        <v>1470</v>
      </c>
      <c r="C33" s="889"/>
      <c r="D33" s="933"/>
      <c r="E33" s="933"/>
      <c r="F33" s="931">
        <v>4500</v>
      </c>
      <c r="G33" s="889"/>
      <c r="H33" s="488" t="s">
        <v>1160</v>
      </c>
    </row>
    <row r="34" spans="1:8" s="490" customFormat="1" ht="26.25" customHeight="1">
      <c r="A34" s="914" t="s">
        <v>1425</v>
      </c>
      <c r="B34" s="896" t="s">
        <v>1471</v>
      </c>
      <c r="C34" s="889"/>
      <c r="D34" s="933"/>
      <c r="E34" s="933"/>
      <c r="F34" s="931">
        <v>6500</v>
      </c>
      <c r="G34" s="889"/>
      <c r="H34" s="488" t="s">
        <v>1160</v>
      </c>
    </row>
    <row r="35" spans="1:8" s="490" customFormat="1" ht="25.5" customHeight="1">
      <c r="A35" s="914" t="s">
        <v>1426</v>
      </c>
      <c r="B35" s="896" t="s">
        <v>1472</v>
      </c>
      <c r="C35" s="889"/>
      <c r="D35" s="933"/>
      <c r="E35" s="933"/>
      <c r="F35" s="931">
        <v>12500</v>
      </c>
      <c r="G35" s="889"/>
      <c r="H35" s="488" t="s">
        <v>1160</v>
      </c>
    </row>
    <row r="36" spans="1:8" s="459" customFormat="1" ht="24.75" customHeight="1">
      <c r="A36" s="897" t="s">
        <v>1427</v>
      </c>
      <c r="B36" s="887" t="s">
        <v>1428</v>
      </c>
      <c r="C36" s="898"/>
      <c r="D36" s="891"/>
      <c r="E36" s="891"/>
      <c r="F36" s="899"/>
      <c r="G36" s="892"/>
      <c r="H36" s="893"/>
    </row>
    <row r="37" spans="1:8" s="459" customFormat="1" ht="18" customHeight="1">
      <c r="A37" s="915" t="s">
        <v>1429</v>
      </c>
      <c r="B37" s="916" t="s">
        <v>1431</v>
      </c>
      <c r="C37" s="480"/>
      <c r="D37" s="917">
        <v>1008</v>
      </c>
      <c r="E37" s="482">
        <v>1149</v>
      </c>
      <c r="F37" s="737">
        <f>E37+(E37*$H$10)</f>
        <v>1217.94</v>
      </c>
      <c r="G37" s="482">
        <f>SUM(F37*1.15)</f>
        <v>1400.6309999999999</v>
      </c>
      <c r="H37" s="918">
        <f>$H$10</f>
        <v>0.06</v>
      </c>
    </row>
    <row r="38" spans="1:8" s="932" customFormat="1" ht="18" customHeight="1">
      <c r="A38" s="914" t="s">
        <v>1430</v>
      </c>
      <c r="B38" s="896" t="s">
        <v>1467</v>
      </c>
      <c r="C38" s="919"/>
      <c r="D38" s="920"/>
      <c r="E38" s="930"/>
      <c r="F38" s="931">
        <v>3500</v>
      </c>
      <c r="G38" s="905">
        <f>SUM(F38*1.15)</f>
        <v>4024.9999999999995</v>
      </c>
      <c r="H38" s="921" t="s">
        <v>1160</v>
      </c>
    </row>
    <row r="39" spans="1:8" s="932" customFormat="1" ht="18" customHeight="1">
      <c r="A39" s="914" t="s">
        <v>1425</v>
      </c>
      <c r="B39" s="896" t="s">
        <v>1468</v>
      </c>
      <c r="C39" s="919"/>
      <c r="D39" s="920"/>
      <c r="E39" s="930"/>
      <c r="F39" s="931">
        <v>4500</v>
      </c>
      <c r="G39" s="905">
        <f>SUM(F39*1.15)</f>
        <v>5175</v>
      </c>
      <c r="H39" s="921" t="s">
        <v>1160</v>
      </c>
    </row>
    <row r="40" spans="1:8" s="932" customFormat="1" ht="15.75" customHeight="1">
      <c r="A40" s="914" t="s">
        <v>1426</v>
      </c>
      <c r="B40" s="896" t="s">
        <v>1469</v>
      </c>
      <c r="C40" s="919"/>
      <c r="D40" s="920"/>
      <c r="E40" s="930"/>
      <c r="F40" s="931">
        <v>8500</v>
      </c>
      <c r="G40" s="905">
        <f>SUM(F40*1.15)</f>
        <v>9775</v>
      </c>
      <c r="H40" s="921" t="s">
        <v>1160</v>
      </c>
    </row>
    <row r="41" spans="1:8" s="459" customFormat="1" ht="29.25" customHeight="1">
      <c r="A41" s="447" t="s">
        <v>1138</v>
      </c>
      <c r="B41" s="447"/>
      <c r="C41" s="478"/>
      <c r="D41" s="917">
        <v>1008</v>
      </c>
      <c r="E41" s="482">
        <v>1149</v>
      </c>
      <c r="F41" s="737">
        <f>E41+(E41*$H$5)</f>
        <v>1217.94</v>
      </c>
      <c r="G41" s="482">
        <f>SUM(F41*1.15)</f>
        <v>1400.6309999999999</v>
      </c>
      <c r="H41" s="918">
        <f>$H$5</f>
        <v>0.06</v>
      </c>
    </row>
    <row r="42" spans="1:8" s="922" customFormat="1" ht="27">
      <c r="A42" s="453" t="s">
        <v>1139</v>
      </c>
      <c r="B42" s="453" t="s">
        <v>380</v>
      </c>
      <c r="C42" s="888" t="s">
        <v>380</v>
      </c>
      <c r="D42" s="888" t="s">
        <v>380</v>
      </c>
      <c r="E42" s="450" t="s">
        <v>380</v>
      </c>
      <c r="F42" s="733" t="s">
        <v>380</v>
      </c>
      <c r="G42" s="733" t="s">
        <v>380</v>
      </c>
      <c r="H42" s="484"/>
    </row>
    <row r="43" spans="1:8" s="459" customFormat="1" ht="13.5">
      <c r="A43" s="453"/>
      <c r="B43" s="453"/>
      <c r="C43" s="483"/>
      <c r="D43" s="483"/>
      <c r="E43" s="451"/>
      <c r="F43" s="735"/>
      <c r="G43" s="482"/>
      <c r="H43" s="484"/>
    </row>
    <row r="44" spans="1:8" ht="13.5">
      <c r="A44" s="900" t="s">
        <v>1432</v>
      </c>
      <c r="B44" s="486"/>
      <c r="C44" s="487"/>
      <c r="D44" s="487"/>
      <c r="E44" s="489"/>
      <c r="F44" s="736"/>
      <c r="G44" s="482"/>
      <c r="H44" s="488"/>
    </row>
    <row r="45" spans="1:8" ht="13.5">
      <c r="A45" s="900" t="s">
        <v>1433</v>
      </c>
      <c r="B45" s="486"/>
      <c r="C45" s="487"/>
      <c r="D45" s="487"/>
      <c r="E45" s="489">
        <v>80</v>
      </c>
      <c r="F45" s="489">
        <v>80</v>
      </c>
      <c r="G45" s="901">
        <f aca="true" t="shared" si="0" ref="G45:G92">SUM(F45*1.15)</f>
        <v>92</v>
      </c>
      <c r="H45" s="488">
        <v>0</v>
      </c>
    </row>
    <row r="46" spans="1:8" ht="13.5">
      <c r="A46" s="486" t="s">
        <v>1434</v>
      </c>
      <c r="B46" s="486"/>
      <c r="C46" s="487"/>
      <c r="D46" s="487"/>
      <c r="E46" s="489">
        <v>20</v>
      </c>
      <c r="F46" s="489">
        <v>20</v>
      </c>
      <c r="G46" s="901">
        <f t="shared" si="0"/>
        <v>23</v>
      </c>
      <c r="H46" s="488">
        <v>0</v>
      </c>
    </row>
    <row r="47" spans="1:8" ht="13.5">
      <c r="A47" s="486" t="s">
        <v>1435</v>
      </c>
      <c r="B47" s="486"/>
      <c r="C47" s="487"/>
      <c r="D47" s="487"/>
      <c r="E47" s="489">
        <v>30</v>
      </c>
      <c r="F47" s="489">
        <v>30</v>
      </c>
      <c r="G47" s="901">
        <f t="shared" si="0"/>
        <v>34.5</v>
      </c>
      <c r="H47" s="488">
        <v>0</v>
      </c>
    </row>
    <row r="48" spans="1:8" ht="13.5">
      <c r="A48" s="486" t="s">
        <v>1436</v>
      </c>
      <c r="B48" s="486"/>
      <c r="C48" s="487"/>
      <c r="D48" s="487"/>
      <c r="E48" s="489">
        <v>20</v>
      </c>
      <c r="F48" s="489">
        <v>20</v>
      </c>
      <c r="G48" s="901">
        <f t="shared" si="0"/>
        <v>23</v>
      </c>
      <c r="H48" s="488">
        <v>0</v>
      </c>
    </row>
    <row r="49" spans="1:8" ht="13.5">
      <c r="A49" s="486" t="s">
        <v>1437</v>
      </c>
      <c r="B49" s="486"/>
      <c r="C49" s="487"/>
      <c r="D49" s="487"/>
      <c r="E49" s="489">
        <v>30</v>
      </c>
      <c r="F49" s="489">
        <v>30</v>
      </c>
      <c r="G49" s="901">
        <f t="shared" si="0"/>
        <v>34.5</v>
      </c>
      <c r="H49" s="488">
        <v>0</v>
      </c>
    </row>
    <row r="50" spans="1:8" ht="13.5">
      <c r="A50" s="486" t="s">
        <v>1438</v>
      </c>
      <c r="B50" s="486"/>
      <c r="C50" s="487"/>
      <c r="D50" s="487"/>
      <c r="E50" s="489">
        <v>20</v>
      </c>
      <c r="F50" s="489">
        <v>20</v>
      </c>
      <c r="G50" s="901">
        <f t="shared" si="0"/>
        <v>23</v>
      </c>
      <c r="H50" s="488">
        <v>0</v>
      </c>
    </row>
    <row r="51" spans="1:8" ht="13.5">
      <c r="A51" s="902" t="s">
        <v>1439</v>
      </c>
      <c r="B51" s="486"/>
      <c r="C51" s="487"/>
      <c r="D51" s="487"/>
      <c r="E51" s="489">
        <v>10</v>
      </c>
      <c r="F51" s="489">
        <v>10</v>
      </c>
      <c r="G51" s="901">
        <f t="shared" si="0"/>
        <v>11.5</v>
      </c>
      <c r="H51" s="488">
        <v>0</v>
      </c>
    </row>
    <row r="52" spans="1:8" ht="13.5">
      <c r="A52" s="902" t="s">
        <v>1440</v>
      </c>
      <c r="B52" s="486"/>
      <c r="C52" s="487"/>
      <c r="D52" s="487"/>
      <c r="E52" s="489"/>
      <c r="F52" s="489"/>
      <c r="G52" s="901"/>
      <c r="H52" s="488"/>
    </row>
    <row r="53" spans="1:8" ht="13.5">
      <c r="A53" s="486" t="s">
        <v>1441</v>
      </c>
      <c r="B53" s="486"/>
      <c r="C53" s="487"/>
      <c r="D53" s="487"/>
      <c r="E53" s="489">
        <v>150</v>
      </c>
      <c r="F53" s="489">
        <v>150</v>
      </c>
      <c r="G53" s="901">
        <f t="shared" si="0"/>
        <v>172.5</v>
      </c>
      <c r="H53" s="488">
        <v>0</v>
      </c>
    </row>
    <row r="54" spans="1:8" ht="13.5">
      <c r="A54" s="486" t="s">
        <v>1442</v>
      </c>
      <c r="B54" s="486"/>
      <c r="C54" s="487"/>
      <c r="D54" s="487"/>
      <c r="E54" s="489">
        <v>120</v>
      </c>
      <c r="F54" s="489">
        <v>120</v>
      </c>
      <c r="G54" s="901">
        <f t="shared" si="0"/>
        <v>138</v>
      </c>
      <c r="H54" s="488">
        <v>0</v>
      </c>
    </row>
    <row r="55" spans="1:8" ht="13.5">
      <c r="A55" s="902" t="s">
        <v>1443</v>
      </c>
      <c r="B55" s="902"/>
      <c r="C55" s="903"/>
      <c r="D55" s="903"/>
      <c r="E55" s="489"/>
      <c r="F55" s="489"/>
      <c r="G55" s="901"/>
      <c r="H55" s="904"/>
    </row>
    <row r="56" spans="1:8" ht="13.5">
      <c r="A56" s="486" t="s">
        <v>1434</v>
      </c>
      <c r="B56" s="902"/>
      <c r="C56" s="903"/>
      <c r="D56" s="903"/>
      <c r="E56" s="489">
        <v>250</v>
      </c>
      <c r="F56" s="489">
        <v>250</v>
      </c>
      <c r="G56" s="901">
        <f t="shared" si="0"/>
        <v>287.5</v>
      </c>
      <c r="H56" s="904">
        <v>0</v>
      </c>
    </row>
    <row r="57" spans="1:8" ht="13.5">
      <c r="A57" s="486" t="s">
        <v>1442</v>
      </c>
      <c r="B57" s="902"/>
      <c r="C57" s="487"/>
      <c r="D57" s="487"/>
      <c r="E57" s="885">
        <v>220</v>
      </c>
      <c r="F57" s="886">
        <v>220</v>
      </c>
      <c r="G57" s="901">
        <f t="shared" si="0"/>
        <v>252.99999999999997</v>
      </c>
      <c r="H57" s="488">
        <v>0</v>
      </c>
    </row>
    <row r="58" spans="1:8" ht="27">
      <c r="A58" s="900" t="s">
        <v>1140</v>
      </c>
      <c r="B58" s="907"/>
      <c r="C58" s="487" t="s">
        <v>47</v>
      </c>
      <c r="D58" s="487" t="s">
        <v>47</v>
      </c>
      <c r="E58" s="489"/>
      <c r="F58" s="736"/>
      <c r="G58" s="901"/>
      <c r="H58" s="488" t="s">
        <v>1141</v>
      </c>
    </row>
    <row r="59" spans="1:8" ht="13.5">
      <c r="A59" s="900" t="s">
        <v>1444</v>
      </c>
      <c r="B59" s="907"/>
      <c r="C59" s="487"/>
      <c r="D59" s="487"/>
      <c r="E59" s="489"/>
      <c r="F59" s="736"/>
      <c r="G59" s="901"/>
      <c r="H59" s="488"/>
    </row>
    <row r="60" spans="1:8" ht="13.5">
      <c r="A60" s="486" t="s">
        <v>1445</v>
      </c>
      <c r="B60" s="907"/>
      <c r="C60" s="487"/>
      <c r="D60" s="487"/>
      <c r="E60" s="489">
        <v>700</v>
      </c>
      <c r="F60" s="736">
        <v>700</v>
      </c>
      <c r="G60" s="901">
        <f t="shared" si="0"/>
        <v>804.9999999999999</v>
      </c>
      <c r="H60" s="488">
        <v>0</v>
      </c>
    </row>
    <row r="61" spans="1:8" ht="13.5">
      <c r="A61" s="486" t="s">
        <v>1446</v>
      </c>
      <c r="B61" s="907"/>
      <c r="C61" s="487"/>
      <c r="D61" s="487"/>
      <c r="E61" s="489">
        <v>700</v>
      </c>
      <c r="F61" s="736">
        <v>700</v>
      </c>
      <c r="G61" s="901">
        <f t="shared" si="0"/>
        <v>804.9999999999999</v>
      </c>
      <c r="H61" s="488">
        <v>0</v>
      </c>
    </row>
    <row r="62" spans="1:8" ht="13.5">
      <c r="A62" s="486" t="s">
        <v>1447</v>
      </c>
      <c r="B62" s="907"/>
      <c r="C62" s="487"/>
      <c r="D62" s="487"/>
      <c r="E62" s="489">
        <v>600</v>
      </c>
      <c r="F62" s="736">
        <v>600</v>
      </c>
      <c r="G62" s="901">
        <f t="shared" si="0"/>
        <v>690</v>
      </c>
      <c r="H62" s="488">
        <v>0</v>
      </c>
    </row>
    <row r="63" spans="1:8" ht="13.5">
      <c r="A63" s="900" t="s">
        <v>1448</v>
      </c>
      <c r="B63" s="907"/>
      <c r="C63" s="487"/>
      <c r="D63" s="487"/>
      <c r="E63" s="489"/>
      <c r="F63" s="736"/>
      <c r="G63" s="901"/>
      <c r="H63" s="488"/>
    </row>
    <row r="64" spans="1:8" ht="13.5">
      <c r="A64" s="486" t="s">
        <v>1449</v>
      </c>
      <c r="B64" s="907"/>
      <c r="C64" s="487"/>
      <c r="D64" s="487"/>
      <c r="E64" s="489">
        <v>4900</v>
      </c>
      <c r="F64" s="736">
        <v>4900</v>
      </c>
      <c r="G64" s="901">
        <f t="shared" si="0"/>
        <v>5635</v>
      </c>
      <c r="H64" s="488">
        <v>0</v>
      </c>
    </row>
    <row r="65" spans="1:8" ht="13.5">
      <c r="A65" s="486" t="s">
        <v>1450</v>
      </c>
      <c r="B65" s="907"/>
      <c r="C65" s="487"/>
      <c r="D65" s="487"/>
      <c r="E65" s="489">
        <v>2000</v>
      </c>
      <c r="F65" s="736">
        <v>2000</v>
      </c>
      <c r="G65" s="901">
        <f t="shared" si="0"/>
        <v>2300</v>
      </c>
      <c r="H65" s="488">
        <v>0</v>
      </c>
    </row>
    <row r="66" spans="1:8" ht="13.5">
      <c r="A66" s="486" t="s">
        <v>1451</v>
      </c>
      <c r="B66" s="907"/>
      <c r="C66" s="487"/>
      <c r="D66" s="487"/>
      <c r="E66" s="489">
        <v>250</v>
      </c>
      <c r="F66" s="736">
        <v>250</v>
      </c>
      <c r="G66" s="901">
        <f t="shared" si="0"/>
        <v>287.5</v>
      </c>
      <c r="H66" s="488">
        <v>0</v>
      </c>
    </row>
    <row r="67" spans="1:8" ht="13.5">
      <c r="A67" s="486" t="s">
        <v>1452</v>
      </c>
      <c r="B67" s="907"/>
      <c r="C67" s="487"/>
      <c r="D67" s="487"/>
      <c r="E67" s="489">
        <v>2900</v>
      </c>
      <c r="F67" s="736">
        <v>2900</v>
      </c>
      <c r="G67" s="901">
        <f t="shared" si="0"/>
        <v>3334.9999999999995</v>
      </c>
      <c r="H67" s="488">
        <v>0</v>
      </c>
    </row>
    <row r="68" spans="1:8" ht="13.5">
      <c r="A68" s="900" t="s">
        <v>1456</v>
      </c>
      <c r="B68" s="907"/>
      <c r="C68" s="487"/>
      <c r="D68" s="487"/>
      <c r="E68" s="489"/>
      <c r="F68" s="736"/>
      <c r="G68" s="901"/>
      <c r="H68" s="488"/>
    </row>
    <row r="69" spans="1:8" ht="13.5">
      <c r="A69" s="486" t="s">
        <v>1457</v>
      </c>
      <c r="B69" s="907"/>
      <c r="C69" s="487"/>
      <c r="D69" s="487"/>
      <c r="E69" s="489"/>
      <c r="F69" s="736"/>
      <c r="G69" s="901"/>
      <c r="H69" s="488"/>
    </row>
    <row r="70" spans="1:8" ht="13.5">
      <c r="A70" s="486" t="s">
        <v>1458</v>
      </c>
      <c r="B70" s="907"/>
      <c r="C70" s="487"/>
      <c r="D70" s="487"/>
      <c r="E70" s="489">
        <v>800</v>
      </c>
      <c r="F70" s="736">
        <v>800</v>
      </c>
      <c r="G70" s="901">
        <f t="shared" si="0"/>
        <v>919.9999999999999</v>
      </c>
      <c r="H70" s="488">
        <v>0</v>
      </c>
    </row>
    <row r="71" spans="1:8" ht="13.5">
      <c r="A71" s="486" t="s">
        <v>1459</v>
      </c>
      <c r="B71" s="907"/>
      <c r="C71" s="487"/>
      <c r="D71" s="487"/>
      <c r="E71" s="489">
        <v>30</v>
      </c>
      <c r="F71" s="736">
        <v>30</v>
      </c>
      <c r="G71" s="901">
        <f t="shared" si="0"/>
        <v>34.5</v>
      </c>
      <c r="H71" s="488">
        <v>0</v>
      </c>
    </row>
    <row r="72" spans="1:8" ht="13.5">
      <c r="A72" s="486" t="s">
        <v>1460</v>
      </c>
      <c r="B72" s="907"/>
      <c r="C72" s="487"/>
      <c r="D72" s="487"/>
      <c r="E72" s="489">
        <v>10</v>
      </c>
      <c r="F72" s="736">
        <v>10</v>
      </c>
      <c r="G72" s="901">
        <f t="shared" si="0"/>
        <v>11.5</v>
      </c>
      <c r="H72" s="488">
        <v>0</v>
      </c>
    </row>
    <row r="73" spans="1:8" ht="13.5">
      <c r="A73" s="900" t="s">
        <v>1461</v>
      </c>
      <c r="B73" s="907"/>
      <c r="C73" s="487"/>
      <c r="D73" s="487"/>
      <c r="E73" s="489"/>
      <c r="F73" s="736"/>
      <c r="G73" s="901"/>
      <c r="H73" s="488"/>
    </row>
    <row r="74" spans="1:8" ht="13.5">
      <c r="A74" s="486" t="s">
        <v>1462</v>
      </c>
      <c r="B74" s="907"/>
      <c r="C74" s="487"/>
      <c r="D74" s="487"/>
      <c r="E74" s="489">
        <v>221</v>
      </c>
      <c r="F74" s="736">
        <v>221</v>
      </c>
      <c r="G74" s="901">
        <f t="shared" si="0"/>
        <v>254.14999999999998</v>
      </c>
      <c r="H74" s="488">
        <v>0</v>
      </c>
    </row>
    <row r="75" spans="1:8" ht="13.5">
      <c r="A75" s="486" t="s">
        <v>1463</v>
      </c>
      <c r="B75" s="907"/>
      <c r="C75" s="487"/>
      <c r="D75" s="487"/>
      <c r="E75" s="489">
        <v>234</v>
      </c>
      <c r="F75" s="736">
        <v>234</v>
      </c>
      <c r="G75" s="901">
        <f t="shared" si="0"/>
        <v>269.09999999999997</v>
      </c>
      <c r="H75" s="488">
        <v>0</v>
      </c>
    </row>
    <row r="76" spans="1:8" ht="13.5">
      <c r="A76" s="486" t="s">
        <v>1464</v>
      </c>
      <c r="B76" s="907"/>
      <c r="C76" s="487"/>
      <c r="D76" s="487"/>
      <c r="E76" s="489">
        <v>74</v>
      </c>
      <c r="F76" s="736">
        <v>74</v>
      </c>
      <c r="G76" s="901">
        <f t="shared" si="0"/>
        <v>85.1</v>
      </c>
      <c r="H76" s="488">
        <v>0</v>
      </c>
    </row>
    <row r="77" spans="1:8" ht="13.5">
      <c r="A77" s="486" t="s">
        <v>1465</v>
      </c>
      <c r="B77" s="907"/>
      <c r="C77" s="487"/>
      <c r="D77" s="487"/>
      <c r="E77" s="489"/>
      <c r="F77" s="736"/>
      <c r="G77" s="901"/>
      <c r="H77" s="488"/>
    </row>
    <row r="78" spans="1:8" ht="13.5">
      <c r="A78" s="486" t="s">
        <v>1466</v>
      </c>
      <c r="B78" s="907"/>
      <c r="C78" s="487"/>
      <c r="D78" s="487"/>
      <c r="E78" s="489">
        <v>259</v>
      </c>
      <c r="F78" s="736">
        <v>259</v>
      </c>
      <c r="G78" s="901">
        <f t="shared" si="0"/>
        <v>297.84999999999997</v>
      </c>
      <c r="H78" s="488">
        <v>0</v>
      </c>
    </row>
    <row r="79" spans="1:8" ht="13.5">
      <c r="A79" s="486" t="s">
        <v>91</v>
      </c>
      <c r="B79" s="907"/>
      <c r="C79" s="487">
        <v>1099</v>
      </c>
      <c r="D79" s="487">
        <v>1253</v>
      </c>
      <c r="E79" s="489">
        <v>1328.18</v>
      </c>
      <c r="F79" s="736">
        <f>E79+(E79*$H$10)</f>
        <v>1407.8708000000001</v>
      </c>
      <c r="G79" s="901">
        <f t="shared" si="0"/>
        <v>1619.05142</v>
      </c>
      <c r="H79" s="488">
        <f>$H$10</f>
        <v>0.06</v>
      </c>
    </row>
    <row r="80" spans="1:8" ht="13.5">
      <c r="A80" s="486" t="s">
        <v>92</v>
      </c>
      <c r="B80" s="907"/>
      <c r="C80" s="487">
        <v>3664</v>
      </c>
      <c r="D80" s="487">
        <v>4177</v>
      </c>
      <c r="E80" s="489">
        <v>4427.62</v>
      </c>
      <c r="F80" s="736">
        <f>E80+(E80*$H$10)</f>
        <v>4693.2771999999995</v>
      </c>
      <c r="G80" s="901">
        <f t="shared" si="0"/>
        <v>5397.268779999999</v>
      </c>
      <c r="H80" s="488">
        <f>$H$10</f>
        <v>0.06</v>
      </c>
    </row>
    <row r="81" spans="1:8" ht="13.5">
      <c r="A81" s="486" t="s">
        <v>93</v>
      </c>
      <c r="B81" s="923"/>
      <c r="C81" s="487"/>
      <c r="D81" s="487"/>
      <c r="E81" s="489">
        <v>0</v>
      </c>
      <c r="F81" s="736">
        <f>E81+(E81*$H$10)</f>
        <v>0</v>
      </c>
      <c r="G81" s="901"/>
      <c r="H81" s="488"/>
    </row>
    <row r="82" spans="1:8" ht="13.5">
      <c r="A82" s="900" t="s">
        <v>1461</v>
      </c>
      <c r="B82" s="907"/>
      <c r="C82" s="487"/>
      <c r="D82" s="487"/>
      <c r="E82" s="489"/>
      <c r="F82" s="736"/>
      <c r="G82" s="901"/>
      <c r="H82" s="488"/>
    </row>
    <row r="83" spans="1:8" ht="13.5">
      <c r="A83" s="486" t="s">
        <v>1462</v>
      </c>
      <c r="B83" s="907"/>
      <c r="C83" s="487"/>
      <c r="D83" s="487"/>
      <c r="E83" s="489">
        <v>221</v>
      </c>
      <c r="F83" s="736">
        <v>221</v>
      </c>
      <c r="G83" s="901">
        <f t="shared" si="0"/>
        <v>254.14999999999998</v>
      </c>
      <c r="H83" s="488">
        <v>0</v>
      </c>
    </row>
    <row r="84" spans="1:8" ht="13.5">
      <c r="A84" s="486" t="s">
        <v>1463</v>
      </c>
      <c r="B84" s="907"/>
      <c r="C84" s="487"/>
      <c r="D84" s="487"/>
      <c r="E84" s="489">
        <v>234</v>
      </c>
      <c r="F84" s="736">
        <v>234</v>
      </c>
      <c r="G84" s="901">
        <f t="shared" si="0"/>
        <v>269.09999999999997</v>
      </c>
      <c r="H84" s="488">
        <v>0</v>
      </c>
    </row>
    <row r="85" spans="1:8" ht="13.5">
      <c r="A85" s="486" t="s">
        <v>1464</v>
      </c>
      <c r="B85" s="907"/>
      <c r="C85" s="487"/>
      <c r="D85" s="487"/>
      <c r="E85" s="489">
        <v>74</v>
      </c>
      <c r="F85" s="736">
        <v>74</v>
      </c>
      <c r="G85" s="901">
        <f t="shared" si="0"/>
        <v>85.1</v>
      </c>
      <c r="H85" s="488">
        <v>0</v>
      </c>
    </row>
    <row r="86" spans="1:8" ht="13.5">
      <c r="A86" s="486" t="s">
        <v>1465</v>
      </c>
      <c r="B86" s="907"/>
      <c r="C86" s="487"/>
      <c r="D86" s="487"/>
      <c r="E86" s="489"/>
      <c r="F86" s="736"/>
      <c r="G86" s="901"/>
      <c r="H86" s="488"/>
    </row>
    <row r="87" spans="1:8" ht="15.75" customHeight="1">
      <c r="A87" s="486" t="s">
        <v>1466</v>
      </c>
      <c r="B87" s="907"/>
      <c r="C87" s="487"/>
      <c r="D87" s="487"/>
      <c r="E87" s="489">
        <v>259</v>
      </c>
      <c r="F87" s="736">
        <v>259</v>
      </c>
      <c r="G87" s="901">
        <f t="shared" si="0"/>
        <v>297.84999999999997</v>
      </c>
      <c r="H87" s="488">
        <v>0</v>
      </c>
    </row>
    <row r="88" spans="1:8" ht="16.5" customHeight="1">
      <c r="A88" s="486" t="s">
        <v>91</v>
      </c>
      <c r="B88" s="907"/>
      <c r="C88" s="487">
        <v>1099</v>
      </c>
      <c r="D88" s="487">
        <v>1253</v>
      </c>
      <c r="E88" s="489">
        <v>1328.18</v>
      </c>
      <c r="F88" s="736">
        <f>E88+(E88*$H$10)</f>
        <v>1407.8708000000001</v>
      </c>
      <c r="G88" s="901">
        <f t="shared" si="0"/>
        <v>1619.05142</v>
      </c>
      <c r="H88" s="488">
        <f>$H$10</f>
        <v>0.06</v>
      </c>
    </row>
    <row r="89" spans="1:8" ht="13.5">
      <c r="A89" s="486" t="s">
        <v>92</v>
      </c>
      <c r="B89" s="907"/>
      <c r="C89" s="487">
        <v>3664</v>
      </c>
      <c r="D89" s="487">
        <v>4177</v>
      </c>
      <c r="E89" s="489">
        <v>4427.62</v>
      </c>
      <c r="F89" s="736">
        <f>E89+(E89*$H$10)</f>
        <v>4693.2771999999995</v>
      </c>
      <c r="G89" s="901">
        <f t="shared" si="0"/>
        <v>5397.268779999999</v>
      </c>
      <c r="H89" s="488">
        <f>$H$10</f>
        <v>0.06</v>
      </c>
    </row>
    <row r="90" spans="1:8" ht="13.5">
      <c r="A90" s="486" t="s">
        <v>93</v>
      </c>
      <c r="B90" s="923"/>
      <c r="C90" s="487"/>
      <c r="D90" s="487"/>
      <c r="E90" s="489">
        <v>0</v>
      </c>
      <c r="F90" s="736">
        <f>E90+(E90*$H$10)</f>
        <v>0</v>
      </c>
      <c r="G90" s="901"/>
      <c r="H90" s="488"/>
    </row>
    <row r="91" spans="1:8" s="491" customFormat="1" ht="13.5">
      <c r="A91" s="486" t="s">
        <v>790</v>
      </c>
      <c r="B91" s="907"/>
      <c r="C91" s="487">
        <v>4213</v>
      </c>
      <c r="D91" s="487">
        <v>4803</v>
      </c>
      <c r="E91" s="489">
        <v>5091.18</v>
      </c>
      <c r="F91" s="736">
        <f>E91+(E91*$H$10)</f>
        <v>5396.6508</v>
      </c>
      <c r="G91" s="901">
        <f t="shared" si="0"/>
        <v>6206.1484199999995</v>
      </c>
      <c r="H91" s="924">
        <f>$H$10</f>
        <v>0.06</v>
      </c>
    </row>
    <row r="92" spans="1:8" s="491" customFormat="1" ht="13.5">
      <c r="A92" s="486" t="s">
        <v>383</v>
      </c>
      <c r="B92" s="907"/>
      <c r="C92" s="487">
        <v>2107</v>
      </c>
      <c r="D92" s="487">
        <v>2402</v>
      </c>
      <c r="E92" s="489">
        <v>2546.1200000000003</v>
      </c>
      <c r="F92" s="736">
        <f>E92+(E92*$H$10)</f>
        <v>2698.8872</v>
      </c>
      <c r="G92" s="901">
        <f t="shared" si="0"/>
        <v>3103.72028</v>
      </c>
      <c r="H92" s="924">
        <f>$H$10</f>
        <v>0.06</v>
      </c>
    </row>
    <row r="93" spans="1:8" s="491" customFormat="1" ht="13.5">
      <c r="A93" s="486" t="s">
        <v>381</v>
      </c>
      <c r="B93" s="925"/>
      <c r="C93" s="487">
        <v>0</v>
      </c>
      <c r="D93" s="487">
        <v>0</v>
      </c>
      <c r="E93" s="489"/>
      <c r="F93" s="736"/>
      <c r="G93" s="901"/>
      <c r="H93" s="924"/>
    </row>
    <row r="94" spans="1:8" ht="13.5">
      <c r="A94" s="486" t="s">
        <v>382</v>
      </c>
      <c r="B94" s="925"/>
      <c r="C94" s="487"/>
      <c r="D94" s="487"/>
      <c r="E94" s="489"/>
      <c r="F94" s="736"/>
      <c r="G94" s="901"/>
      <c r="H94" s="488"/>
    </row>
    <row r="95" spans="1:8" ht="13.5">
      <c r="A95" s="486"/>
      <c r="B95" s="923"/>
      <c r="C95" s="487"/>
      <c r="D95" s="487"/>
      <c r="E95" s="489"/>
      <c r="F95" s="736"/>
      <c r="G95" s="489"/>
      <c r="H95" s="488"/>
    </row>
    <row r="96" spans="1:8" ht="12.75" customHeight="1" hidden="1">
      <c r="A96" s="902" t="s">
        <v>116</v>
      </c>
      <c r="B96" s="486"/>
      <c r="C96" s="487"/>
      <c r="D96" s="487"/>
      <c r="E96" s="489"/>
      <c r="F96" s="736"/>
      <c r="G96" s="489"/>
      <c r="H96" s="488"/>
    </row>
    <row r="97" spans="1:8" ht="12.75" customHeight="1" hidden="1">
      <c r="A97" s="486" t="s">
        <v>117</v>
      </c>
      <c r="B97" s="907">
        <v>27.200448</v>
      </c>
      <c r="C97" s="487"/>
      <c r="D97" s="487"/>
      <c r="E97" s="489"/>
      <c r="F97" s="736"/>
      <c r="G97" s="489"/>
      <c r="H97" s="488"/>
    </row>
    <row r="98" spans="1:8" ht="12.75" customHeight="1" hidden="1">
      <c r="A98" s="486" t="s">
        <v>118</v>
      </c>
      <c r="B98" s="907">
        <v>18.54576</v>
      </c>
      <c r="C98" s="487"/>
      <c r="D98" s="487"/>
      <c r="E98" s="489"/>
      <c r="F98" s="736"/>
      <c r="G98" s="489"/>
      <c r="H98" s="488"/>
    </row>
    <row r="99" spans="1:8" ht="12.75" customHeight="1" hidden="1">
      <c r="A99" s="486" t="s">
        <v>119</v>
      </c>
      <c r="B99" s="907">
        <v>8.654688</v>
      </c>
      <c r="C99" s="487"/>
      <c r="D99" s="487"/>
      <c r="E99" s="489"/>
      <c r="F99" s="736"/>
      <c r="G99" s="489"/>
      <c r="H99" s="488"/>
    </row>
    <row r="100" spans="1:8" ht="12.75" customHeight="1" hidden="1">
      <c r="A100" s="486" t="s">
        <v>120</v>
      </c>
      <c r="B100" s="486">
        <v>0</v>
      </c>
      <c r="C100" s="487"/>
      <c r="D100" s="487"/>
      <c r="E100" s="489"/>
      <c r="F100" s="736"/>
      <c r="G100" s="489"/>
      <c r="H100" s="488"/>
    </row>
    <row r="101" spans="1:8" ht="12.75" customHeight="1" hidden="1">
      <c r="A101" s="486" t="s">
        <v>117</v>
      </c>
      <c r="B101" s="907">
        <v>24.727680000000007</v>
      </c>
      <c r="C101" s="487"/>
      <c r="D101" s="487"/>
      <c r="E101" s="489"/>
      <c r="F101" s="736"/>
      <c r="G101" s="489"/>
      <c r="H101" s="488"/>
    </row>
    <row r="102" spans="1:8" ht="12.75" customHeight="1" hidden="1">
      <c r="A102" s="486" t="s">
        <v>118</v>
      </c>
      <c r="B102" s="907">
        <v>19.782144000000002</v>
      </c>
      <c r="C102" s="487"/>
      <c r="D102" s="487"/>
      <c r="E102" s="489"/>
      <c r="F102" s="736"/>
      <c r="G102" s="489"/>
      <c r="H102" s="488"/>
    </row>
    <row r="103" spans="1:8" ht="12.75" customHeight="1" hidden="1">
      <c r="A103" s="486" t="s">
        <v>119</v>
      </c>
      <c r="B103" s="907">
        <v>15.454800000000002</v>
      </c>
      <c r="C103" s="487"/>
      <c r="D103" s="487"/>
      <c r="E103" s="489"/>
      <c r="F103" s="736"/>
      <c r="G103" s="489"/>
      <c r="H103" s="488"/>
    </row>
    <row r="104" spans="1:8" ht="12.75" customHeight="1" hidden="1">
      <c r="A104" s="486"/>
      <c r="B104" s="486"/>
      <c r="C104" s="487"/>
      <c r="D104" s="487"/>
      <c r="E104" s="489"/>
      <c r="F104" s="736"/>
      <c r="G104" s="489"/>
      <c r="H104" s="488"/>
    </row>
    <row r="105" spans="1:8" ht="13.5">
      <c r="A105" s="492" t="s">
        <v>97</v>
      </c>
      <c r="B105" s="447"/>
      <c r="C105" s="475">
        <v>1667.38</v>
      </c>
      <c r="D105" s="475">
        <f>C105*1.06</f>
        <v>1767.4228000000003</v>
      </c>
      <c r="E105" s="485">
        <v>1873.4681680000003</v>
      </c>
      <c r="F105" s="735">
        <f>E105+(E105*$H$10)</f>
        <v>1985.8762580800003</v>
      </c>
      <c r="G105" s="485">
        <f>SUM(F105*1.15)</f>
        <v>2283.7576967920004</v>
      </c>
      <c r="H105" s="476">
        <f>$H$10</f>
        <v>0.06</v>
      </c>
    </row>
    <row r="106" spans="1:8" ht="13.5">
      <c r="A106" s="447" t="s">
        <v>1142</v>
      </c>
      <c r="B106" s="447"/>
      <c r="C106" s="475"/>
      <c r="D106" s="475"/>
      <c r="E106" s="485"/>
      <c r="F106" s="735"/>
      <c r="G106" s="485"/>
      <c r="H106" s="476"/>
    </row>
    <row r="107" spans="1:8" ht="13.5">
      <c r="A107" s="447"/>
      <c r="B107" s="447"/>
      <c r="C107" s="475"/>
      <c r="D107" s="475"/>
      <c r="E107" s="485"/>
      <c r="F107" s="735"/>
      <c r="G107" s="485"/>
      <c r="H107" s="476"/>
    </row>
    <row r="108" spans="1:8" ht="32.25" customHeight="1">
      <c r="A108" s="454" t="s">
        <v>1143</v>
      </c>
      <c r="B108" s="447" t="s">
        <v>99</v>
      </c>
      <c r="C108" s="493">
        <v>171.27</v>
      </c>
      <c r="D108" s="475">
        <f>C108*1.06</f>
        <v>181.54620000000003</v>
      </c>
      <c r="E108" s="485">
        <v>192.43897200000004</v>
      </c>
      <c r="F108" s="735">
        <f>E108+(E108*$H$10)</f>
        <v>203.98531032000002</v>
      </c>
      <c r="G108" s="485">
        <f>SUM(F108*1.15)</f>
        <v>234.58310686800002</v>
      </c>
      <c r="H108" s="476">
        <f>$H$10</f>
        <v>0.06</v>
      </c>
    </row>
    <row r="109" spans="1:8" ht="27">
      <c r="A109" s="447" t="s">
        <v>1186</v>
      </c>
      <c r="B109" s="447"/>
      <c r="C109" s="475"/>
      <c r="D109" s="475"/>
      <c r="E109" s="485"/>
      <c r="F109" s="735"/>
      <c r="G109" s="485"/>
      <c r="H109" s="476"/>
    </row>
    <row r="110" spans="1:8" ht="13.5">
      <c r="A110" s="447"/>
      <c r="B110" s="447"/>
      <c r="C110" s="475"/>
      <c r="D110" s="475"/>
      <c r="E110" s="485"/>
      <c r="F110" s="735"/>
      <c r="G110" s="485"/>
      <c r="H110" s="476"/>
    </row>
    <row r="111" spans="1:8" s="459" customFormat="1" ht="13.5">
      <c r="A111" s="454" t="s">
        <v>121</v>
      </c>
      <c r="B111" s="453"/>
      <c r="C111" s="475"/>
      <c r="D111" s="475"/>
      <c r="E111" s="485"/>
      <c r="F111" s="735"/>
      <c r="G111" s="485"/>
      <c r="H111" s="476"/>
    </row>
    <row r="112" spans="1:8" ht="13.5">
      <c r="A112" s="447" t="s">
        <v>122</v>
      </c>
      <c r="B112" s="912"/>
      <c r="C112" s="475">
        <v>864</v>
      </c>
      <c r="D112" s="475">
        <v>916</v>
      </c>
      <c r="E112" s="485">
        <v>970.96</v>
      </c>
      <c r="F112" s="735">
        <f>E112+(E112*$H$5)</f>
        <v>1029.2176</v>
      </c>
      <c r="G112" s="485">
        <f>SUM(F112*1.15)</f>
        <v>1183.6002399999998</v>
      </c>
      <c r="H112" s="476">
        <f>$H$5</f>
        <v>0.06</v>
      </c>
    </row>
    <row r="113" spans="1:8" ht="13.5">
      <c r="A113" s="447" t="s">
        <v>123</v>
      </c>
      <c r="B113" s="912"/>
      <c r="C113" s="475">
        <v>1728</v>
      </c>
      <c r="D113" s="475">
        <v>1832</v>
      </c>
      <c r="E113" s="485">
        <v>1941.92</v>
      </c>
      <c r="F113" s="735">
        <f>E113+(E113*$H$5)</f>
        <v>2058.4352</v>
      </c>
      <c r="G113" s="485">
        <f>SUM(F113*1.15)</f>
        <v>2367.2004799999995</v>
      </c>
      <c r="H113" s="476">
        <f>$H$5</f>
        <v>0.06</v>
      </c>
    </row>
    <row r="114" spans="1:8" ht="13.5">
      <c r="A114" s="447" t="s">
        <v>124</v>
      </c>
      <c r="B114" s="912"/>
      <c r="C114" s="475">
        <v>2592</v>
      </c>
      <c r="D114" s="475">
        <v>2748</v>
      </c>
      <c r="E114" s="485">
        <v>2912.88</v>
      </c>
      <c r="F114" s="735">
        <f>E114+(E114*$H$5)</f>
        <v>3087.6528000000003</v>
      </c>
      <c r="G114" s="485">
        <f>SUM(F114*1.15)</f>
        <v>3550.80072</v>
      </c>
      <c r="H114" s="476">
        <f>$H$5</f>
        <v>0.06</v>
      </c>
    </row>
    <row r="115" spans="1:8" ht="13.5">
      <c r="A115" s="447" t="s">
        <v>125</v>
      </c>
      <c r="B115" s="912"/>
      <c r="C115" s="475">
        <v>3456</v>
      </c>
      <c r="D115" s="475">
        <v>3664</v>
      </c>
      <c r="E115" s="485">
        <v>3883.84</v>
      </c>
      <c r="F115" s="735">
        <f>E115+(E115*$H$5)</f>
        <v>4116.8704</v>
      </c>
      <c r="G115" s="485">
        <f>SUM(F115*1.15)</f>
        <v>4734.400959999999</v>
      </c>
      <c r="H115" s="476">
        <f>$H$5</f>
        <v>0.06</v>
      </c>
    </row>
    <row r="116" spans="1:8" ht="13.5">
      <c r="A116" s="447"/>
      <c r="B116" s="912"/>
      <c r="C116" s="475"/>
      <c r="D116" s="475"/>
      <c r="E116" s="485"/>
      <c r="F116" s="735"/>
      <c r="G116" s="485"/>
      <c r="H116" s="476"/>
    </row>
    <row r="117" spans="1:8" ht="13.5">
      <c r="A117" s="454" t="s">
        <v>987</v>
      </c>
      <c r="B117" s="912"/>
      <c r="C117" s="475"/>
      <c r="D117" s="475"/>
      <c r="E117" s="485"/>
      <c r="F117" s="735"/>
      <c r="G117" s="485"/>
      <c r="H117" s="476"/>
    </row>
    <row r="118" spans="1:8" ht="12.75" customHeight="1">
      <c r="A118" s="494" t="s">
        <v>1013</v>
      </c>
      <c r="B118" s="912"/>
      <c r="C118" s="475">
        <v>43</v>
      </c>
      <c r="D118" s="475">
        <v>46</v>
      </c>
      <c r="E118" s="485">
        <v>48.760000000000005</v>
      </c>
      <c r="F118" s="735">
        <f>E118+(E118*$H$5)</f>
        <v>51.68560000000001</v>
      </c>
      <c r="G118" s="485">
        <f>SUM(F118*1.15)</f>
        <v>59.43844000000001</v>
      </c>
      <c r="H118" s="476">
        <f>$H$5</f>
        <v>0.06</v>
      </c>
    </row>
    <row r="119" spans="1:8" ht="13.5">
      <c r="A119" s="494" t="s">
        <v>1014</v>
      </c>
      <c r="B119" s="912"/>
      <c r="C119" s="475">
        <v>96</v>
      </c>
      <c r="D119" s="475">
        <v>102</v>
      </c>
      <c r="E119" s="485">
        <v>108.12</v>
      </c>
      <c r="F119" s="735">
        <f>E119+(E119*$H$5)</f>
        <v>114.6072</v>
      </c>
      <c r="G119" s="485">
        <f>SUM(F119*1.15)</f>
        <v>131.79828</v>
      </c>
      <c r="H119" s="476">
        <f>$H$5</f>
        <v>0.06</v>
      </c>
    </row>
    <row r="120" spans="1:8" ht="13.5">
      <c r="A120" s="494" t="s">
        <v>1015</v>
      </c>
      <c r="B120" s="912"/>
      <c r="C120" s="475">
        <v>216</v>
      </c>
      <c r="D120" s="475">
        <v>229</v>
      </c>
      <c r="E120" s="485">
        <v>242.74</v>
      </c>
      <c r="F120" s="735">
        <f>E120+(E120*$H$5)</f>
        <v>257.3044</v>
      </c>
      <c r="G120" s="485">
        <f>SUM(F120*1.15)</f>
        <v>295.90005999999994</v>
      </c>
      <c r="H120" s="476">
        <f>$H$5</f>
        <v>0.06</v>
      </c>
    </row>
    <row r="121" spans="1:8" ht="13.5">
      <c r="A121" s="494" t="s">
        <v>1016</v>
      </c>
      <c r="B121" s="912"/>
      <c r="C121" s="475">
        <v>479</v>
      </c>
      <c r="D121" s="475">
        <v>508</v>
      </c>
      <c r="E121" s="485">
        <v>538.48</v>
      </c>
      <c r="F121" s="735">
        <f>E121+(E121*$H$5)</f>
        <v>570.7888</v>
      </c>
      <c r="G121" s="485">
        <f>SUM(F121*1.15)</f>
        <v>656.40712</v>
      </c>
      <c r="H121" s="476">
        <f>$H$5</f>
        <v>0.06</v>
      </c>
    </row>
    <row r="122" spans="1:8" ht="13.5">
      <c r="A122" s="494"/>
      <c r="B122" s="912"/>
      <c r="C122" s="475"/>
      <c r="D122" s="475"/>
      <c r="E122" s="485"/>
      <c r="F122" s="735"/>
      <c r="G122" s="485"/>
      <c r="H122" s="476"/>
    </row>
    <row r="123" spans="1:8" ht="13.5">
      <c r="A123" s="926" t="s">
        <v>1144</v>
      </c>
      <c r="B123" s="912"/>
      <c r="C123" s="475"/>
      <c r="D123" s="475"/>
      <c r="E123" s="485"/>
      <c r="F123" s="735"/>
      <c r="G123" s="485"/>
      <c r="H123" s="476"/>
    </row>
    <row r="124" spans="1:8" ht="13.5">
      <c r="A124" s="495" t="s">
        <v>1145</v>
      </c>
      <c r="B124" s="912"/>
      <c r="C124" s="475"/>
      <c r="D124" s="475"/>
      <c r="E124" s="743">
        <v>4</v>
      </c>
      <c r="F124" s="743">
        <f>E124+(E124*$H$5)</f>
        <v>4.24</v>
      </c>
      <c r="G124" s="743">
        <f>SUM(F124*1.15)</f>
        <v>4.8759999999999994</v>
      </c>
      <c r="H124" s="476">
        <f>$H$5</f>
        <v>0.06</v>
      </c>
    </row>
    <row r="125" spans="1:8" ht="13.5">
      <c r="A125" s="495"/>
      <c r="B125" s="912"/>
      <c r="C125" s="475"/>
      <c r="D125" s="475"/>
      <c r="E125" s="485"/>
      <c r="F125" s="735"/>
      <c r="G125" s="485"/>
      <c r="H125" s="476"/>
    </row>
    <row r="126" spans="1:8" ht="27">
      <c r="A126" s="454" t="s">
        <v>988</v>
      </c>
      <c r="B126" s="912"/>
      <c r="C126" s="475"/>
      <c r="D126" s="475"/>
      <c r="E126" s="485"/>
      <c r="F126" s="735"/>
      <c r="G126" s="485"/>
      <c r="H126" s="476"/>
    </row>
    <row r="127" spans="1:8" ht="12.75" customHeight="1">
      <c r="A127" s="495" t="s">
        <v>989</v>
      </c>
      <c r="B127" s="912"/>
      <c r="C127" s="475">
        <v>2650</v>
      </c>
      <c r="D127" s="475">
        <v>2809</v>
      </c>
      <c r="E127" s="485">
        <v>2977.54</v>
      </c>
      <c r="F127" s="735">
        <f>E127+(E127*$H$5)</f>
        <v>3156.1924</v>
      </c>
      <c r="G127" s="485">
        <f>SUM(F127*1.15)</f>
        <v>3629.6212599999994</v>
      </c>
      <c r="H127" s="476">
        <f>$H$5</f>
        <v>0.06</v>
      </c>
    </row>
    <row r="128" spans="1:8" ht="13.5">
      <c r="A128" s="495" t="s">
        <v>990</v>
      </c>
      <c r="B128" s="912"/>
      <c r="C128" s="475">
        <v>2650</v>
      </c>
      <c r="D128" s="475">
        <v>2809</v>
      </c>
      <c r="E128" s="485">
        <v>2977.54</v>
      </c>
      <c r="F128" s="735">
        <f>E128+(E128*$H$5)</f>
        <v>3156.1924</v>
      </c>
      <c r="G128" s="485">
        <f>SUM(F128*1.15)</f>
        <v>3629.6212599999994</v>
      </c>
      <c r="H128" s="476">
        <f>$H$5</f>
        <v>0.06</v>
      </c>
    </row>
    <row r="129" spans="1:8" ht="13.5">
      <c r="A129" s="447"/>
      <c r="B129" s="447"/>
      <c r="C129" s="475"/>
      <c r="D129" s="475"/>
      <c r="E129" s="485"/>
      <c r="F129" s="735"/>
      <c r="G129" s="485"/>
      <c r="H129" s="476"/>
    </row>
    <row r="130" spans="1:8" ht="13.5">
      <c r="A130" s="447"/>
      <c r="B130" s="447"/>
      <c r="C130" s="475"/>
      <c r="D130" s="475"/>
      <c r="E130" s="485"/>
      <c r="F130" s="735"/>
      <c r="G130" s="485"/>
      <c r="H130" s="476"/>
    </row>
    <row r="131" spans="1:8" ht="13.5">
      <c r="A131" s="454" t="s">
        <v>1146</v>
      </c>
      <c r="B131" s="447"/>
      <c r="C131" s="475"/>
      <c r="D131" s="475"/>
      <c r="E131" s="485"/>
      <c r="F131" s="735"/>
      <c r="G131" s="485"/>
      <c r="H131" s="476"/>
    </row>
    <row r="132" spans="1:8" ht="13.5">
      <c r="A132" s="447" t="s">
        <v>1147</v>
      </c>
      <c r="B132" s="447"/>
      <c r="C132" s="475"/>
      <c r="D132" s="475"/>
      <c r="E132" s="485"/>
      <c r="F132" s="735"/>
      <c r="G132" s="485"/>
      <c r="H132" s="476"/>
    </row>
    <row r="133" spans="1:8" ht="13.5">
      <c r="A133" s="447" t="s">
        <v>1148</v>
      </c>
      <c r="B133" s="447"/>
      <c r="C133" s="475"/>
      <c r="D133" s="475"/>
      <c r="E133" s="485"/>
      <c r="F133" s="735"/>
      <c r="G133" s="485"/>
      <c r="H133" s="476"/>
    </row>
    <row r="134" spans="1:8" ht="13.5">
      <c r="A134" s="447"/>
      <c r="B134" s="447"/>
      <c r="C134" s="475"/>
      <c r="D134" s="475"/>
      <c r="E134" s="485"/>
      <c r="F134" s="735"/>
      <c r="G134" s="485"/>
      <c r="H134" s="476"/>
    </row>
    <row r="135" spans="1:8" s="459" customFormat="1" ht="27">
      <c r="A135" s="454" t="s">
        <v>460</v>
      </c>
      <c r="B135" s="453"/>
      <c r="C135" s="475"/>
      <c r="D135" s="475"/>
      <c r="E135" s="485"/>
      <c r="F135" s="735"/>
      <c r="G135" s="485"/>
      <c r="H135" s="476"/>
    </row>
    <row r="136" spans="1:8" ht="27">
      <c r="A136" s="447" t="s">
        <v>127</v>
      </c>
      <c r="B136" s="912"/>
      <c r="C136" s="475"/>
      <c r="D136" s="475"/>
      <c r="E136" s="485"/>
      <c r="F136" s="735"/>
      <c r="G136" s="485"/>
      <c r="H136" s="476"/>
    </row>
    <row r="137" spans="1:8" ht="13.5">
      <c r="A137" s="447" t="s">
        <v>128</v>
      </c>
      <c r="B137" s="912"/>
      <c r="C137" s="475"/>
      <c r="D137" s="475"/>
      <c r="E137" s="485"/>
      <c r="F137" s="735"/>
      <c r="G137" s="485"/>
      <c r="H137" s="476"/>
    </row>
    <row r="138" spans="1:8" ht="13.5">
      <c r="A138" s="447" t="s">
        <v>129</v>
      </c>
      <c r="B138" s="912"/>
      <c r="C138" s="475"/>
      <c r="D138" s="475"/>
      <c r="E138" s="485"/>
      <c r="F138" s="735"/>
      <c r="G138" s="485"/>
      <c r="H138" s="476"/>
    </row>
    <row r="139" spans="1:8" ht="13.5">
      <c r="A139" s="447" t="s">
        <v>130</v>
      </c>
      <c r="B139" s="912"/>
      <c r="C139" s="475"/>
      <c r="D139" s="475"/>
      <c r="E139" s="485"/>
      <c r="F139" s="735"/>
      <c r="G139" s="485"/>
      <c r="H139" s="476"/>
    </row>
    <row r="140" spans="1:8" ht="13.5">
      <c r="A140" s="447" t="s">
        <v>461</v>
      </c>
      <c r="B140" s="912"/>
      <c r="C140" s="475"/>
      <c r="D140" s="475"/>
      <c r="E140" s="485"/>
      <c r="F140" s="735"/>
      <c r="G140" s="485"/>
      <c r="H140" s="476"/>
    </row>
    <row r="141" spans="1:8" ht="13.5">
      <c r="A141" s="449" t="s">
        <v>389</v>
      </c>
      <c r="B141" s="912"/>
      <c r="C141" s="496">
        <v>1037</v>
      </c>
      <c r="D141" s="496">
        <v>1099</v>
      </c>
      <c r="E141" s="485">
        <v>1164.94</v>
      </c>
      <c r="F141" s="735">
        <f>E141+(E141*$H$5)</f>
        <v>1234.8364000000001</v>
      </c>
      <c r="G141" s="485">
        <f>SUM(F141*1.15)</f>
        <v>1420.06186</v>
      </c>
      <c r="H141" s="476">
        <f>$H$5</f>
        <v>0.06</v>
      </c>
    </row>
    <row r="142" spans="1:8" ht="13.5">
      <c r="A142" s="449" t="s">
        <v>131</v>
      </c>
      <c r="B142" s="912"/>
      <c r="C142" s="496">
        <v>864</v>
      </c>
      <c r="D142" s="496">
        <v>916</v>
      </c>
      <c r="E142" s="485">
        <v>970.96</v>
      </c>
      <c r="F142" s="735">
        <f>E142+(E142*$H$5)</f>
        <v>1029.2176</v>
      </c>
      <c r="G142" s="485">
        <f>SUM(F142*1.15)</f>
        <v>1183.6002399999998</v>
      </c>
      <c r="H142" s="476">
        <f>$H$5</f>
        <v>0.06</v>
      </c>
    </row>
    <row r="143" spans="1:8" ht="13.5">
      <c r="A143" s="449" t="s">
        <v>506</v>
      </c>
      <c r="B143" s="912"/>
      <c r="C143" s="496">
        <v>691</v>
      </c>
      <c r="D143" s="496">
        <v>733</v>
      </c>
      <c r="E143" s="485">
        <v>776.98</v>
      </c>
      <c r="F143" s="735">
        <f>E143+(E143*$H$5)</f>
        <v>823.5988</v>
      </c>
      <c r="G143" s="485">
        <f>SUM(F143*1.15)</f>
        <v>947.13862</v>
      </c>
      <c r="H143" s="476">
        <f>$H$5</f>
        <v>0.06</v>
      </c>
    </row>
    <row r="144" spans="1:8" ht="13.5">
      <c r="A144" s="447" t="s">
        <v>531</v>
      </c>
      <c r="B144" s="912"/>
      <c r="C144" s="475"/>
      <c r="D144" s="475"/>
      <c r="E144" s="485"/>
      <c r="F144" s="735"/>
      <c r="G144" s="485"/>
      <c r="H144" s="476"/>
    </row>
    <row r="145" spans="1:8" ht="13.5">
      <c r="A145" s="447"/>
      <c r="B145" s="447"/>
      <c r="C145" s="475"/>
      <c r="D145" s="475"/>
      <c r="E145" s="485"/>
      <c r="F145" s="735"/>
      <c r="G145" s="485"/>
      <c r="H145" s="476"/>
    </row>
    <row r="146" spans="1:8" ht="13.5">
      <c r="A146" s="447"/>
      <c r="B146" s="554"/>
      <c r="C146" s="555"/>
      <c r="D146" s="555"/>
      <c r="E146" s="557"/>
      <c r="F146" s="738"/>
      <c r="G146" s="557"/>
      <c r="H146" s="556"/>
    </row>
    <row r="147" spans="1:8" ht="13.5">
      <c r="A147" s="447"/>
      <c r="B147" s="554"/>
      <c r="C147" s="555"/>
      <c r="D147" s="555"/>
      <c r="E147" s="557"/>
      <c r="F147" s="738"/>
      <c r="G147" s="557"/>
      <c r="H147" s="556"/>
    </row>
    <row r="148" spans="1:7" ht="119.25" customHeight="1">
      <c r="A148" s="927" t="s">
        <v>1283</v>
      </c>
      <c r="E148" s="501"/>
      <c r="G148" s="502"/>
    </row>
    <row r="149" spans="1:7" ht="15" customHeight="1">
      <c r="A149" s="928"/>
      <c r="E149" s="501"/>
      <c r="G149" s="502"/>
    </row>
    <row r="150" ht="27">
      <c r="A150" s="929" t="s">
        <v>1170</v>
      </c>
    </row>
    <row r="152" spans="1:8" ht="13.5">
      <c r="A152" s="452"/>
      <c r="C152" s="452"/>
      <c r="D152" s="452"/>
      <c r="E152" s="452"/>
      <c r="F152" s="452"/>
      <c r="G152" s="452"/>
      <c r="H152" s="452"/>
    </row>
    <row r="153" spans="1:8" ht="13.5">
      <c r="A153" s="452"/>
      <c r="C153" s="452"/>
      <c r="D153" s="452"/>
      <c r="E153" s="452"/>
      <c r="F153" s="452"/>
      <c r="G153" s="452"/>
      <c r="H153" s="452"/>
    </row>
    <row r="154" spans="1:8" ht="13.5">
      <c r="A154" s="452"/>
      <c r="C154" s="452"/>
      <c r="D154" s="452"/>
      <c r="E154" s="452"/>
      <c r="F154" s="452"/>
      <c r="G154" s="452"/>
      <c r="H154" s="452"/>
    </row>
    <row r="155" spans="1:8" ht="13.5">
      <c r="A155" s="452"/>
      <c r="C155" s="452"/>
      <c r="D155" s="452"/>
      <c r="E155" s="452"/>
      <c r="F155" s="452"/>
      <c r="G155" s="452"/>
      <c r="H155" s="452"/>
    </row>
    <row r="156" spans="1:8" ht="13.5">
      <c r="A156" s="452"/>
      <c r="C156" s="452"/>
      <c r="D156" s="452"/>
      <c r="E156" s="452"/>
      <c r="F156" s="452"/>
      <c r="G156" s="452"/>
      <c r="H156" s="452"/>
    </row>
    <row r="157" spans="1:8" ht="13.5">
      <c r="A157" s="452"/>
      <c r="C157" s="452"/>
      <c r="D157" s="452"/>
      <c r="E157" s="452"/>
      <c r="F157" s="452"/>
      <c r="G157" s="452"/>
      <c r="H157" s="452"/>
    </row>
    <row r="158" spans="1:8" ht="13.5">
      <c r="A158" s="452"/>
      <c r="C158" s="452"/>
      <c r="D158" s="452"/>
      <c r="E158" s="452"/>
      <c r="F158" s="452"/>
      <c r="G158" s="452"/>
      <c r="H158" s="452"/>
    </row>
    <row r="159" spans="1:8" ht="13.5">
      <c r="A159" s="452"/>
      <c r="C159" s="452"/>
      <c r="D159" s="452"/>
      <c r="E159" s="452"/>
      <c r="F159" s="452"/>
      <c r="G159" s="452"/>
      <c r="H159" s="452"/>
    </row>
    <row r="160" spans="1:8" ht="13.5">
      <c r="A160" s="452"/>
      <c r="C160" s="452"/>
      <c r="D160" s="452"/>
      <c r="E160" s="452"/>
      <c r="F160" s="452"/>
      <c r="G160" s="452"/>
      <c r="H160" s="452"/>
    </row>
    <row r="161" spans="1:8" ht="13.5">
      <c r="A161" s="452"/>
      <c r="C161" s="452"/>
      <c r="D161" s="452"/>
      <c r="E161" s="452"/>
      <c r="F161" s="452"/>
      <c r="G161" s="452"/>
      <c r="H161" s="452"/>
    </row>
    <row r="162" spans="1:8" ht="13.5">
      <c r="A162" s="452"/>
      <c r="C162" s="452"/>
      <c r="D162" s="452"/>
      <c r="E162" s="452"/>
      <c r="F162" s="452"/>
      <c r="G162" s="452"/>
      <c r="H162" s="452"/>
    </row>
    <row r="163" spans="1:8" ht="13.5">
      <c r="A163" s="452"/>
      <c r="C163" s="452"/>
      <c r="D163" s="452"/>
      <c r="E163" s="452"/>
      <c r="F163" s="452"/>
      <c r="G163" s="452"/>
      <c r="H163" s="452"/>
    </row>
    <row r="164" spans="1:8" ht="13.5">
      <c r="A164" s="452"/>
      <c r="C164" s="452"/>
      <c r="D164" s="452"/>
      <c r="E164" s="452"/>
      <c r="F164" s="452"/>
      <c r="G164" s="452"/>
      <c r="H164" s="452"/>
    </row>
    <row r="165" spans="1:8" ht="13.5">
      <c r="A165" s="452"/>
      <c r="C165" s="452"/>
      <c r="D165" s="452"/>
      <c r="E165" s="452"/>
      <c r="F165" s="452"/>
      <c r="G165" s="452"/>
      <c r="H165" s="452"/>
    </row>
    <row r="166" spans="1:8" ht="13.5">
      <c r="A166" s="452"/>
      <c r="C166" s="452"/>
      <c r="D166" s="452"/>
      <c r="E166" s="452"/>
      <c r="F166" s="452"/>
      <c r="G166" s="452"/>
      <c r="H166" s="452"/>
    </row>
    <row r="167" spans="1:8" ht="13.5">
      <c r="A167" s="452"/>
      <c r="C167" s="452"/>
      <c r="D167" s="452"/>
      <c r="E167" s="452"/>
      <c r="F167" s="452"/>
      <c r="G167" s="452"/>
      <c r="H167" s="452"/>
    </row>
    <row r="168" spans="1:8" ht="13.5">
      <c r="A168" s="452"/>
      <c r="C168" s="452"/>
      <c r="D168" s="452"/>
      <c r="E168" s="452"/>
      <c r="F168" s="452"/>
      <c r="G168" s="452"/>
      <c r="H168" s="452"/>
    </row>
    <row r="169" spans="1:8" ht="13.5">
      <c r="A169" s="452"/>
      <c r="C169" s="452"/>
      <c r="D169" s="452"/>
      <c r="E169" s="452"/>
      <c r="F169" s="452"/>
      <c r="G169" s="452"/>
      <c r="H169" s="452"/>
    </row>
    <row r="170" spans="1:8" ht="13.5">
      <c r="A170" s="452"/>
      <c r="C170" s="452"/>
      <c r="D170" s="452"/>
      <c r="E170" s="452"/>
      <c r="F170" s="452"/>
      <c r="G170" s="452"/>
      <c r="H170" s="452"/>
    </row>
    <row r="171" spans="1:8" ht="13.5">
      <c r="A171" s="452"/>
      <c r="C171" s="452"/>
      <c r="D171" s="452"/>
      <c r="E171" s="452"/>
      <c r="F171" s="452"/>
      <c r="G171" s="452"/>
      <c r="H171" s="452"/>
    </row>
    <row r="172" spans="1:8" ht="13.5">
      <c r="A172" s="452"/>
      <c r="C172" s="452"/>
      <c r="D172" s="452"/>
      <c r="E172" s="452"/>
      <c r="F172" s="452"/>
      <c r="G172" s="452"/>
      <c r="H172" s="452"/>
    </row>
    <row r="173" spans="1:8" ht="13.5">
      <c r="A173" s="452"/>
      <c r="C173" s="452"/>
      <c r="D173" s="452"/>
      <c r="E173" s="452"/>
      <c r="F173" s="452"/>
      <c r="G173" s="452"/>
      <c r="H173" s="452"/>
    </row>
    <row r="174" spans="1:8" ht="13.5">
      <c r="A174" s="452"/>
      <c r="C174" s="452"/>
      <c r="D174" s="452"/>
      <c r="E174" s="452"/>
      <c r="F174" s="452"/>
      <c r="G174" s="452"/>
      <c r="H174" s="452"/>
    </row>
    <row r="175" spans="1:8" ht="13.5">
      <c r="A175" s="452"/>
      <c r="C175" s="452"/>
      <c r="D175" s="452"/>
      <c r="E175" s="452"/>
      <c r="F175" s="452"/>
      <c r="G175" s="452"/>
      <c r="H175" s="452"/>
    </row>
    <row r="176" spans="1:8" ht="13.5">
      <c r="A176" s="452"/>
      <c r="C176" s="452"/>
      <c r="D176" s="452"/>
      <c r="E176" s="452"/>
      <c r="F176" s="452"/>
      <c r="G176" s="452"/>
      <c r="H176" s="452"/>
    </row>
    <row r="177" spans="1:8" ht="13.5">
      <c r="A177" s="452"/>
      <c r="C177" s="452"/>
      <c r="D177" s="452"/>
      <c r="E177" s="452"/>
      <c r="F177" s="452"/>
      <c r="G177" s="452"/>
      <c r="H177" s="452"/>
    </row>
    <row r="178" spans="1:8" ht="13.5">
      <c r="A178" s="452"/>
      <c r="C178" s="452"/>
      <c r="D178" s="452"/>
      <c r="E178" s="452"/>
      <c r="F178" s="452"/>
      <c r="G178" s="452"/>
      <c r="H178" s="452"/>
    </row>
    <row r="179" spans="1:8" ht="13.5">
      <c r="A179" s="452"/>
      <c r="C179" s="452"/>
      <c r="D179" s="452"/>
      <c r="E179" s="452"/>
      <c r="F179" s="452"/>
      <c r="G179" s="452"/>
      <c r="H179" s="452"/>
    </row>
    <row r="180" spans="1:8" ht="13.5">
      <c r="A180" s="452"/>
      <c r="C180" s="452"/>
      <c r="D180" s="452"/>
      <c r="E180" s="452"/>
      <c r="F180" s="452"/>
      <c r="G180" s="452"/>
      <c r="H180" s="452"/>
    </row>
    <row r="181" spans="1:8" ht="13.5">
      <c r="A181" s="452"/>
      <c r="C181" s="452"/>
      <c r="D181" s="452"/>
      <c r="E181" s="452"/>
      <c r="F181" s="452"/>
      <c r="G181" s="452"/>
      <c r="H181" s="452"/>
    </row>
    <row r="182" spans="1:8" ht="13.5">
      <c r="A182" s="452"/>
      <c r="C182" s="452"/>
      <c r="D182" s="452"/>
      <c r="E182" s="452"/>
      <c r="F182" s="452"/>
      <c r="G182" s="452"/>
      <c r="H182" s="452"/>
    </row>
    <row r="183" spans="1:8" ht="13.5">
      <c r="A183" s="452"/>
      <c r="C183" s="452"/>
      <c r="D183" s="452"/>
      <c r="E183" s="452"/>
      <c r="F183" s="452"/>
      <c r="G183" s="452"/>
      <c r="H183" s="452"/>
    </row>
    <row r="184" spans="1:8" ht="13.5">
      <c r="A184" s="452"/>
      <c r="C184" s="452"/>
      <c r="D184" s="452"/>
      <c r="E184" s="452"/>
      <c r="F184" s="452"/>
      <c r="G184" s="452"/>
      <c r="H184" s="452"/>
    </row>
    <row r="185" spans="1:8" ht="13.5">
      <c r="A185" s="452"/>
      <c r="C185" s="452"/>
      <c r="D185" s="452"/>
      <c r="E185" s="452"/>
      <c r="F185" s="452"/>
      <c r="G185" s="452"/>
      <c r="H185" s="452"/>
    </row>
    <row r="186" spans="1:8" ht="13.5">
      <c r="A186" s="452"/>
      <c r="C186" s="452"/>
      <c r="D186" s="452"/>
      <c r="E186" s="452"/>
      <c r="F186" s="452"/>
      <c r="G186" s="452"/>
      <c r="H186" s="452"/>
    </row>
    <row r="187" spans="1:8" ht="13.5">
      <c r="A187" s="452"/>
      <c r="C187" s="452"/>
      <c r="D187" s="452"/>
      <c r="E187" s="452"/>
      <c r="F187" s="452"/>
      <c r="G187" s="452"/>
      <c r="H187" s="452"/>
    </row>
    <row r="188" spans="1:8" ht="13.5">
      <c r="A188" s="452"/>
      <c r="C188" s="452"/>
      <c r="D188" s="452"/>
      <c r="E188" s="452"/>
      <c r="F188" s="452"/>
      <c r="G188" s="452"/>
      <c r="H188" s="452"/>
    </row>
    <row r="189" spans="1:8" ht="13.5">
      <c r="A189" s="452"/>
      <c r="C189" s="452"/>
      <c r="D189" s="452"/>
      <c r="E189" s="452"/>
      <c r="F189" s="452"/>
      <c r="G189" s="452"/>
      <c r="H189" s="452"/>
    </row>
    <row r="190" spans="1:8" ht="13.5">
      <c r="A190" s="452"/>
      <c r="C190" s="452"/>
      <c r="D190" s="452"/>
      <c r="E190" s="452"/>
      <c r="F190" s="452"/>
      <c r="G190" s="452"/>
      <c r="H190" s="452"/>
    </row>
    <row r="191" spans="1:8" ht="13.5">
      <c r="A191" s="452"/>
      <c r="C191" s="452"/>
      <c r="D191" s="452"/>
      <c r="E191" s="452"/>
      <c r="F191" s="452"/>
      <c r="G191" s="452"/>
      <c r="H191" s="452"/>
    </row>
    <row r="192" spans="1:8" ht="13.5">
      <c r="A192" s="452"/>
      <c r="C192" s="452"/>
      <c r="D192" s="452"/>
      <c r="E192" s="452"/>
      <c r="F192" s="452"/>
      <c r="G192" s="452"/>
      <c r="H192" s="452"/>
    </row>
    <row r="193" spans="1:8" ht="13.5">
      <c r="A193" s="452"/>
      <c r="C193" s="452"/>
      <c r="D193" s="452"/>
      <c r="E193" s="452"/>
      <c r="F193" s="452"/>
      <c r="G193" s="452"/>
      <c r="H193" s="452"/>
    </row>
    <row r="194" spans="1:8" ht="13.5">
      <c r="A194" s="452"/>
      <c r="C194" s="452"/>
      <c r="D194" s="452"/>
      <c r="E194" s="452"/>
      <c r="F194" s="452"/>
      <c r="G194" s="452"/>
      <c r="H194" s="452"/>
    </row>
    <row r="195" spans="1:8" ht="13.5">
      <c r="A195" s="452"/>
      <c r="C195" s="452"/>
      <c r="D195" s="452"/>
      <c r="E195" s="452"/>
      <c r="F195" s="452"/>
      <c r="G195" s="452"/>
      <c r="H195" s="452"/>
    </row>
    <row r="196" spans="1:8" ht="13.5">
      <c r="A196" s="452"/>
      <c r="C196" s="452"/>
      <c r="D196" s="452"/>
      <c r="E196" s="452"/>
      <c r="F196" s="452"/>
      <c r="G196" s="452"/>
      <c r="H196" s="452"/>
    </row>
    <row r="197" spans="1:8" ht="13.5">
      <c r="A197" s="452"/>
      <c r="C197" s="452"/>
      <c r="D197" s="452"/>
      <c r="E197" s="452"/>
      <c r="F197" s="452"/>
      <c r="G197" s="452"/>
      <c r="H197" s="452"/>
    </row>
    <row r="198" spans="1:8" ht="13.5">
      <c r="A198" s="452"/>
      <c r="C198" s="452"/>
      <c r="D198" s="452"/>
      <c r="E198" s="452"/>
      <c r="F198" s="452"/>
      <c r="G198" s="452"/>
      <c r="H198" s="452"/>
    </row>
    <row r="199" spans="1:8" ht="13.5">
      <c r="A199" s="452"/>
      <c r="C199" s="452"/>
      <c r="D199" s="452"/>
      <c r="E199" s="452"/>
      <c r="F199" s="452"/>
      <c r="G199" s="452"/>
      <c r="H199" s="452"/>
    </row>
    <row r="200" spans="1:8" ht="13.5">
      <c r="A200" s="452"/>
      <c r="C200" s="452"/>
      <c r="D200" s="452"/>
      <c r="E200" s="452"/>
      <c r="F200" s="452"/>
      <c r="G200" s="452"/>
      <c r="H200" s="452"/>
    </row>
    <row r="201" spans="1:8" ht="13.5">
      <c r="A201" s="452"/>
      <c r="C201" s="452"/>
      <c r="D201" s="452"/>
      <c r="E201" s="452"/>
      <c r="F201" s="452"/>
      <c r="G201" s="452"/>
      <c r="H201" s="452"/>
    </row>
    <row r="202" spans="1:8" ht="13.5">
      <c r="A202" s="452"/>
      <c r="C202" s="452"/>
      <c r="D202" s="452"/>
      <c r="E202" s="452"/>
      <c r="F202" s="452"/>
      <c r="G202" s="452"/>
      <c r="H202" s="452"/>
    </row>
    <row r="203" spans="1:8" ht="13.5">
      <c r="A203" s="452"/>
      <c r="C203" s="452"/>
      <c r="D203" s="452"/>
      <c r="E203" s="452"/>
      <c r="F203" s="452"/>
      <c r="G203" s="452"/>
      <c r="H203" s="452"/>
    </row>
    <row r="204" spans="1:8" ht="13.5">
      <c r="A204" s="452"/>
      <c r="C204" s="452"/>
      <c r="D204" s="452"/>
      <c r="E204" s="452"/>
      <c r="F204" s="452"/>
      <c r="G204" s="452"/>
      <c r="H204" s="452"/>
    </row>
  </sheetData>
  <sheetProtection/>
  <mergeCells count="4">
    <mergeCell ref="D1:E1"/>
    <mergeCell ref="D2:E2"/>
    <mergeCell ref="B3:H3"/>
    <mergeCell ref="A31:D31"/>
  </mergeCells>
  <printOptions gridLines="1"/>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Mogale City Local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Binang Monkwe</cp:lastModifiedBy>
  <cp:lastPrinted>2019-06-03T09:44:49Z</cp:lastPrinted>
  <dcterms:created xsi:type="dcterms:W3CDTF">2009-05-15T09:34:02Z</dcterms:created>
  <dcterms:modified xsi:type="dcterms:W3CDTF">2019-10-04T09:11:51Z</dcterms:modified>
  <cp:category/>
  <cp:version/>
  <cp:contentType/>
  <cp:contentStatus/>
</cp:coreProperties>
</file>